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4_ROZPOČET\2024_ROZPOČET\AK SENÁT\rozpoet 2024\AS JU_schvalování\Zveřejněno\"/>
    </mc:Choice>
  </mc:AlternateContent>
  <xr:revisionPtr revIDLastSave="0" documentId="13_ncr:1_{81F70D3C-C726-405E-A335-B2D9910EC129}" xr6:coauthVersionLast="47" xr6:coauthVersionMax="47" xr10:uidLastSave="{00000000-0000-0000-0000-000000000000}"/>
  <bookViews>
    <workbookView xWindow="-120" yWindow="-120" windowWidth="29040" windowHeight="15840" tabRatio="816" xr2:uid="{00000000-000D-0000-FFFF-FFFF00000000}"/>
  </bookViews>
  <sheets>
    <sheet name="Obsah" sheetId="1" r:id="rId1"/>
    <sheet name="1.1 Objemy A JU" sheetId="2" r:id="rId2"/>
    <sheet name="1.2 Objemy K JU" sheetId="8" r:id="rId3"/>
    <sheet name="1.3 A+K 2023" sheetId="13" r:id="rId4"/>
    <sheet name="1.4 F-Koheze" sheetId="15" r:id="rId5"/>
    <sheet name="2 Dotace na RVO" sheetId="3" r:id="rId6"/>
    <sheet name="3 Rekapituace" sheetId="9" r:id="rId7"/>
  </sheets>
  <externalReferences>
    <externalReference r:id="rId8"/>
  </externalReferences>
  <definedNames>
    <definedName name="ble" localSheetId="2">[1]CFG!#REF!</definedName>
    <definedName name="ble" localSheetId="3">[1]CFG!#REF!</definedName>
    <definedName name="ble" localSheetId="5">[1]CFG!#REF!</definedName>
    <definedName name="ble" localSheetId="6">[1]CFG!#REF!</definedName>
    <definedName name="ble">[1]CFG!#REF!</definedName>
    <definedName name="j">[1]CFG!#REF!</definedName>
    <definedName name="kkk" localSheetId="2">[1]CFG!#REF!</definedName>
    <definedName name="kkk" localSheetId="3">[1]CFG!#REF!</definedName>
    <definedName name="kkk" localSheetId="5">[1]CFG!#REF!</definedName>
    <definedName name="kkk" localSheetId="6">[1]CFG!#REF!</definedName>
    <definedName name="kkk">[1]CFG!#REF!</definedName>
    <definedName name="kkkkk" localSheetId="3">[1]CFG!#REF!</definedName>
    <definedName name="kkkkk" localSheetId="5">[1]CFG!#REF!</definedName>
    <definedName name="kkkkk">[1]CFG!#REF!</definedName>
    <definedName name="kkkkkkkkk" localSheetId="3">[1]CFG!#REF!</definedName>
    <definedName name="kkkkkkkkk" localSheetId="5">[1]CFG!#REF!</definedName>
    <definedName name="kkkkkkkkk">[1]CFG!#REF!</definedName>
    <definedName name="kontr_vyp_menu_souhl" localSheetId="3">[1]CFG!#REF!</definedName>
    <definedName name="kontr_vyp_menu_souhl" localSheetId="5">[1]CFG!#REF!</definedName>
    <definedName name="kontr_vyp_menu_souhl">[1]CFG!#REF!</definedName>
    <definedName name="kontr_vyp_obd" localSheetId="3">[1]CFG!#REF!</definedName>
    <definedName name="kontr_vyp_obd">[1]CFG!#REF!</definedName>
    <definedName name="md_uzit" localSheetId="3">[1]CFG!#REF!</definedName>
    <definedName name="md_uzit">[1]CFG!#REF!</definedName>
    <definedName name="mmmm" localSheetId="3">[1]CFG!#REF!</definedName>
    <definedName name="mmmm">[1]CFG!#REF!</definedName>
    <definedName name="mmmmm" localSheetId="3">[1]CFG!#REF!</definedName>
    <definedName name="mmmmm">[1]CFG!#REF!</definedName>
    <definedName name="mmmmmmmmmm" localSheetId="3">[1]CFG!#REF!</definedName>
    <definedName name="mmmmmmmmmm">[1]CFG!#REF!</definedName>
    <definedName name="mmmmmmmmmmmmmmmmm" localSheetId="3">[1]CFG!#REF!</definedName>
    <definedName name="mmmmmmmmmmmmmmmmm">[1]CFG!#REF!</definedName>
    <definedName name="napln_pole" localSheetId="3">[1]CFG!#REF!</definedName>
    <definedName name="napln_pole">[1]CFG!#REF!</definedName>
    <definedName name="nn" localSheetId="2">[1]CFG!#REF!</definedName>
    <definedName name="nn" localSheetId="3">[1]CFG!#REF!</definedName>
    <definedName name="nn" localSheetId="5">[1]CFG!#REF!</definedName>
    <definedName name="nn" localSheetId="6">[1]CFG!#REF!</definedName>
    <definedName name="nn">[1]CFG!#REF!</definedName>
    <definedName name="nnn" localSheetId="2">[1]CFG!#REF!</definedName>
    <definedName name="nnn" localSheetId="3">[1]CFG!#REF!</definedName>
    <definedName name="nnn" localSheetId="5">[1]CFG!#REF!</definedName>
    <definedName name="nnn" localSheetId="6">[1]CFG!#REF!</definedName>
    <definedName name="nnn">[1]CFG!#REF!</definedName>
    <definedName name="nnnn" localSheetId="2">[1]CFG!#REF!</definedName>
    <definedName name="nnnn" localSheetId="3">[1]CFG!#REF!</definedName>
    <definedName name="nnnn" localSheetId="5">[1]CFG!#REF!</definedName>
    <definedName name="nnnn" localSheetId="6">[1]CFG!#REF!</definedName>
    <definedName name="nnnn">[1]CFG!#REF!</definedName>
    <definedName name="obl_vzorcu" localSheetId="2">#REF!</definedName>
    <definedName name="obl_vzorcu" localSheetId="3">#REF!</definedName>
    <definedName name="obl_vzorcu" localSheetId="5">#REF!</definedName>
    <definedName name="obl_vzorcu" localSheetId="6">#REF!</definedName>
    <definedName name="obl_vzorcu">#REF!</definedName>
    <definedName name="_xlnm.Print_Area" localSheetId="6">'3 Rekapituace'!$A$1:$W$75</definedName>
    <definedName name="okl" localSheetId="2">#REF!</definedName>
    <definedName name="okl" localSheetId="3">#REF!</definedName>
    <definedName name="okl" localSheetId="5">#REF!</definedName>
    <definedName name="okl" localSheetId="6">#REF!</definedName>
    <definedName name="okl">#REF!</definedName>
    <definedName name="Print_Area" localSheetId="6">'3 Rekapituace'!$A$1:$T$75</definedName>
    <definedName name="sd">[1]CFG!#REF!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3" l="1"/>
  <c r="R28" i="3"/>
  <c r="R29" i="3"/>
  <c r="R30" i="3"/>
  <c r="R31" i="3"/>
  <c r="R32" i="3"/>
  <c r="C3" i="15"/>
  <c r="R33" i="3" l="1"/>
  <c r="R34" i="3"/>
  <c r="J22" i="2" l="1"/>
  <c r="I22" i="2"/>
  <c r="L22" i="8" l="1"/>
  <c r="G8" i="3" l="1"/>
  <c r="D23" i="13"/>
  <c r="D24" i="13"/>
  <c r="D25" i="13"/>
  <c r="D26" i="13"/>
  <c r="D27" i="13"/>
  <c r="D28" i="13"/>
  <c r="D29" i="13"/>
  <c r="D22" i="13"/>
  <c r="F35" i="8"/>
  <c r="F48" i="8" l="1"/>
  <c r="C35" i="2"/>
  <c r="C48" i="2" l="1"/>
  <c r="D75" i="9"/>
  <c r="C75" i="9"/>
  <c r="E74" i="9"/>
  <c r="E73" i="9"/>
  <c r="E72" i="9"/>
  <c r="E71" i="9"/>
  <c r="E70" i="9"/>
  <c r="E69" i="9"/>
  <c r="E68" i="9"/>
  <c r="E67" i="9"/>
  <c r="E75" i="9" l="1"/>
  <c r="C6" i="8"/>
  <c r="C7" i="2"/>
  <c r="C10" i="2" s="1"/>
  <c r="B7" i="13"/>
  <c r="C9" i="2" l="1"/>
  <c r="C8" i="2"/>
  <c r="F49" i="9" l="1"/>
  <c r="G49" i="9" s="1"/>
  <c r="E23" i="13" l="1"/>
  <c r="E24" i="13"/>
  <c r="E25" i="13"/>
  <c r="E26" i="13"/>
  <c r="E27" i="13"/>
  <c r="E28" i="13"/>
  <c r="E29" i="13"/>
  <c r="E22" i="13"/>
  <c r="D35" i="2"/>
  <c r="F42" i="9" l="1"/>
  <c r="G42" i="9" s="1"/>
  <c r="F47" i="9"/>
  <c r="G47" i="9" s="1"/>
  <c r="F41" i="9"/>
  <c r="G41" i="9" s="1"/>
  <c r="F46" i="9"/>
  <c r="G46" i="9" s="1"/>
  <c r="F45" i="9"/>
  <c r="G45" i="9" s="1"/>
  <c r="F44" i="9"/>
  <c r="G44" i="9" s="1"/>
  <c r="F43" i="9"/>
  <c r="G43" i="9" s="1"/>
  <c r="D48" i="2"/>
  <c r="D48" i="9"/>
  <c r="C48" i="9"/>
  <c r="C50" i="9" s="1"/>
  <c r="T35" i="3"/>
  <c r="T41" i="3" s="1"/>
  <c r="V28" i="3"/>
  <c r="F5" i="9" s="1"/>
  <c r="V29" i="3"/>
  <c r="E47" i="3" s="1"/>
  <c r="V30" i="3"/>
  <c r="E48" i="3" s="1"/>
  <c r="V31" i="3"/>
  <c r="F8" i="9" s="1"/>
  <c r="V32" i="3"/>
  <c r="E50" i="3" s="1"/>
  <c r="V33" i="3"/>
  <c r="F10" i="9" s="1"/>
  <c r="V34" i="3"/>
  <c r="F11" i="9" s="1"/>
  <c r="J35" i="3"/>
  <c r="E35" i="3"/>
  <c r="D35" i="3"/>
  <c r="G18" i="3"/>
  <c r="G19" i="3"/>
  <c r="G20" i="3"/>
  <c r="G21" i="3"/>
  <c r="G22" i="3"/>
  <c r="G23" i="3"/>
  <c r="G17" i="3"/>
  <c r="G15" i="3"/>
  <c r="G14" i="3"/>
  <c r="V38" i="3" s="1"/>
  <c r="G13" i="3"/>
  <c r="V39" i="3" s="1"/>
  <c r="G12" i="3"/>
  <c r="V37" i="3" s="1"/>
  <c r="F40" i="9" l="1"/>
  <c r="E48" i="9"/>
  <c r="D50" i="9"/>
  <c r="F50" i="3"/>
  <c r="G50" i="3" s="1"/>
  <c r="F48" i="3"/>
  <c r="G48" i="3" s="1"/>
  <c r="F47" i="3"/>
  <c r="G47" i="3" s="1"/>
  <c r="E46" i="3"/>
  <c r="E52" i="3"/>
  <c r="E51" i="3"/>
  <c r="F9" i="9"/>
  <c r="F6" i="9"/>
  <c r="E49" i="3"/>
  <c r="F7" i="9"/>
  <c r="R35" i="3"/>
  <c r="R41" i="3" s="1"/>
  <c r="V27" i="3"/>
  <c r="G16" i="3"/>
  <c r="G40" i="9" l="1"/>
  <c r="F48" i="9"/>
  <c r="F49" i="3"/>
  <c r="G49" i="3" s="1"/>
  <c r="F51" i="3"/>
  <c r="G51" i="3" s="1"/>
  <c r="F52" i="3"/>
  <c r="G52" i="3" s="1"/>
  <c r="F46" i="3"/>
  <c r="G46" i="3" s="1"/>
  <c r="V35" i="3"/>
  <c r="V41" i="3" s="1"/>
  <c r="E45" i="3"/>
  <c r="F4" i="9"/>
  <c r="F50" i="9" l="1"/>
  <c r="G50" i="9" s="1"/>
  <c r="G48" i="9"/>
  <c r="F45" i="3"/>
  <c r="G45" i="3" s="1"/>
  <c r="G35" i="8"/>
  <c r="F22" i="8"/>
  <c r="G22" i="8"/>
  <c r="H22" i="8"/>
  <c r="I22" i="8"/>
  <c r="J22" i="8"/>
  <c r="K22" i="8"/>
  <c r="M22" i="8"/>
  <c r="C22" i="8"/>
  <c r="G48" i="8" l="1"/>
  <c r="C7" i="8"/>
  <c r="C9" i="8" l="1"/>
  <c r="N18" i="8" s="1"/>
  <c r="C8" i="8"/>
  <c r="D18" i="8" s="1"/>
  <c r="B4" i="13"/>
  <c r="D15" i="8" l="1"/>
  <c r="D19" i="8"/>
  <c r="D17" i="8"/>
  <c r="D14" i="8"/>
  <c r="D13" i="8"/>
  <c r="G67" i="9" s="1"/>
  <c r="D20" i="8"/>
  <c r="D16" i="8"/>
  <c r="N14" i="8"/>
  <c r="N20" i="8"/>
  <c r="N19" i="8"/>
  <c r="N17" i="8"/>
  <c r="G71" i="9" s="1"/>
  <c r="N16" i="8"/>
  <c r="N13" i="8"/>
  <c r="G72" i="9"/>
  <c r="N15" i="8"/>
  <c r="G69" i="9" l="1"/>
  <c r="H33" i="8"/>
  <c r="D22" i="8"/>
  <c r="H30" i="8"/>
  <c r="D8" i="9"/>
  <c r="E14" i="13"/>
  <c r="H26" i="8"/>
  <c r="D4" i="9"/>
  <c r="E10" i="13"/>
  <c r="H31" i="8"/>
  <c r="D9" i="9"/>
  <c r="E15" i="13"/>
  <c r="E22" i="2"/>
  <c r="I33" i="8" l="1"/>
  <c r="J33" i="8" s="1"/>
  <c r="I31" i="8"/>
  <c r="J31" i="8" s="1"/>
  <c r="I30" i="8"/>
  <c r="J30" i="8" s="1"/>
  <c r="H28" i="8"/>
  <c r="E17" i="13"/>
  <c r="H32" i="8"/>
  <c r="G73" i="9"/>
  <c r="E12" i="13"/>
  <c r="E16" i="13"/>
  <c r="H27" i="8"/>
  <c r="G68" i="9"/>
  <c r="E13" i="13"/>
  <c r="G70" i="9"/>
  <c r="D6" i="9"/>
  <c r="E11" i="13"/>
  <c r="D10" i="9"/>
  <c r="D11" i="9"/>
  <c r="G74" i="9"/>
  <c r="D5" i="9"/>
  <c r="H29" i="8"/>
  <c r="D7" i="9"/>
  <c r="I26" i="8"/>
  <c r="J26" i="8" s="1"/>
  <c r="F20" i="2"/>
  <c r="B3" i="13"/>
  <c r="B5" i="13" s="1"/>
  <c r="F17" i="2"/>
  <c r="I29" i="8" l="1"/>
  <c r="J29" i="8" s="1"/>
  <c r="I32" i="8"/>
  <c r="J32" i="8" s="1"/>
  <c r="I27" i="8"/>
  <c r="J27" i="8" s="1"/>
  <c r="I28" i="8"/>
  <c r="J28" i="8" s="1"/>
  <c r="G75" i="9"/>
  <c r="H35" i="8"/>
  <c r="H40" i="8" s="1"/>
  <c r="C7" i="15" s="1"/>
  <c r="D7" i="15" s="1"/>
  <c r="G5" i="9" s="1"/>
  <c r="F16" i="2"/>
  <c r="F14" i="2"/>
  <c r="F19" i="2"/>
  <c r="F18" i="2"/>
  <c r="F13" i="2"/>
  <c r="F15" i="2"/>
  <c r="B6" i="13"/>
  <c r="D16" i="2"/>
  <c r="D17" i="2"/>
  <c r="D18" i="2"/>
  <c r="D19" i="2"/>
  <c r="D14" i="2"/>
  <c r="D20" i="2"/>
  <c r="D15" i="2"/>
  <c r="D13" i="2"/>
  <c r="I35" i="8" l="1"/>
  <c r="J35" i="8" s="1"/>
  <c r="H48" i="8"/>
  <c r="H43" i="8"/>
  <c r="C10" i="15" s="1"/>
  <c r="D10" i="15" s="1"/>
  <c r="G8" i="9" s="1"/>
  <c r="H46" i="8"/>
  <c r="C13" i="15" s="1"/>
  <c r="D13" i="15" s="1"/>
  <c r="G11" i="9" s="1"/>
  <c r="H44" i="8"/>
  <c r="C11" i="15" s="1"/>
  <c r="D11" i="15" s="1"/>
  <c r="G9" i="9" s="1"/>
  <c r="H39" i="8"/>
  <c r="C6" i="15" s="1"/>
  <c r="H45" i="8"/>
  <c r="C12" i="15" s="1"/>
  <c r="D12" i="15" s="1"/>
  <c r="G10" i="9" s="1"/>
  <c r="H41" i="8"/>
  <c r="C8" i="15" s="1"/>
  <c r="D8" i="15" s="1"/>
  <c r="G6" i="9" s="1"/>
  <c r="H42" i="8"/>
  <c r="C9" i="15" s="1"/>
  <c r="D9" i="15" s="1"/>
  <c r="G7" i="9" s="1"/>
  <c r="F22" i="2"/>
  <c r="G14" i="2"/>
  <c r="G19" i="2"/>
  <c r="G18" i="2"/>
  <c r="G13" i="2"/>
  <c r="F67" i="9" s="1"/>
  <c r="H67" i="9" s="1"/>
  <c r="G17" i="2"/>
  <c r="G15" i="2"/>
  <c r="G16" i="2"/>
  <c r="G20" i="2"/>
  <c r="D55" i="9"/>
  <c r="D56" i="9"/>
  <c r="D57" i="9"/>
  <c r="D58" i="9"/>
  <c r="D59" i="9"/>
  <c r="D60" i="9"/>
  <c r="D61" i="9"/>
  <c r="D54" i="9"/>
  <c r="C55" i="9"/>
  <c r="C56" i="9"/>
  <c r="C57" i="9"/>
  <c r="C58" i="9"/>
  <c r="C59" i="9"/>
  <c r="C60" i="9"/>
  <c r="C61" i="9"/>
  <c r="C54" i="9"/>
  <c r="E50" i="9"/>
  <c r="D6" i="15" l="1"/>
  <c r="C15" i="15"/>
  <c r="E31" i="2"/>
  <c r="F72" i="9"/>
  <c r="H72" i="9" s="1"/>
  <c r="E32" i="2"/>
  <c r="F73" i="9"/>
  <c r="H73" i="9" s="1"/>
  <c r="E29" i="2"/>
  <c r="F70" i="9"/>
  <c r="H70" i="9" s="1"/>
  <c r="E27" i="2"/>
  <c r="F68" i="9"/>
  <c r="H68" i="9" s="1"/>
  <c r="E30" i="2"/>
  <c r="F71" i="9"/>
  <c r="H71" i="9" s="1"/>
  <c r="E33" i="2"/>
  <c r="F74" i="9"/>
  <c r="H74" i="9" s="1"/>
  <c r="E28" i="2"/>
  <c r="F69" i="9"/>
  <c r="H69" i="9" s="1"/>
  <c r="E26" i="2"/>
  <c r="C6" i="9"/>
  <c r="C8" i="9"/>
  <c r="C9" i="9"/>
  <c r="C11" i="9"/>
  <c r="C10" i="9"/>
  <c r="C7" i="9"/>
  <c r="C5" i="9"/>
  <c r="C4" i="9"/>
  <c r="D10" i="13"/>
  <c r="D15" i="13"/>
  <c r="D12" i="13"/>
  <c r="D11" i="13"/>
  <c r="D17" i="13"/>
  <c r="D16" i="13"/>
  <c r="D14" i="13"/>
  <c r="D13" i="13"/>
  <c r="G22" i="2"/>
  <c r="E35" i="2" s="1"/>
  <c r="C62" i="9"/>
  <c r="D62" i="9"/>
  <c r="C24" i="9"/>
  <c r="C53" i="3"/>
  <c r="E53" i="3"/>
  <c r="D53" i="3"/>
  <c r="D30" i="13"/>
  <c r="G4" i="9" l="1"/>
  <c r="G12" i="9" s="1"/>
  <c r="D15" i="15"/>
  <c r="H75" i="9"/>
  <c r="C30" i="9"/>
  <c r="C36" i="9"/>
  <c r="C31" i="9"/>
  <c r="C28" i="9"/>
  <c r="C32" i="9"/>
  <c r="C33" i="9"/>
  <c r="C34" i="9"/>
  <c r="C29" i="9"/>
  <c r="C35" i="9"/>
  <c r="D42" i="13"/>
  <c r="D37" i="13"/>
  <c r="D34" i="13"/>
  <c r="D36" i="13"/>
  <c r="D40" i="13"/>
  <c r="D38" i="13"/>
  <c r="D35" i="13"/>
  <c r="D39" i="13"/>
  <c r="D41" i="13"/>
  <c r="F29" i="2"/>
  <c r="G29" i="2" s="1"/>
  <c r="E42" i="2"/>
  <c r="F26" i="2"/>
  <c r="G26" i="2" s="1"/>
  <c r="E39" i="2"/>
  <c r="F30" i="2"/>
  <c r="G30" i="2" s="1"/>
  <c r="E43" i="2"/>
  <c r="F32" i="2"/>
  <c r="G32" i="2" s="1"/>
  <c r="E45" i="2"/>
  <c r="F28" i="2"/>
  <c r="G28" i="2" s="1"/>
  <c r="E41" i="2"/>
  <c r="F27" i="2"/>
  <c r="G27" i="2" s="1"/>
  <c r="E40" i="2"/>
  <c r="F31" i="2"/>
  <c r="G31" i="2" s="1"/>
  <c r="E44" i="2"/>
  <c r="F33" i="2"/>
  <c r="G33" i="2" s="1"/>
  <c r="E46" i="2"/>
  <c r="F35" i="2"/>
  <c r="G35" i="2" s="1"/>
  <c r="E48" i="2"/>
  <c r="E65" i="3"/>
  <c r="E62" i="3"/>
  <c r="E60" i="3"/>
  <c r="E59" i="3"/>
  <c r="E61" i="3"/>
  <c r="E58" i="3"/>
  <c r="E63" i="3"/>
  <c r="E64" i="3"/>
  <c r="E57" i="3"/>
  <c r="D59" i="3"/>
  <c r="D62" i="3"/>
  <c r="D65" i="3"/>
  <c r="D57" i="3"/>
  <c r="D60" i="3"/>
  <c r="D63" i="3"/>
  <c r="D58" i="3"/>
  <c r="D61" i="3"/>
  <c r="D64" i="3"/>
  <c r="C61" i="3"/>
  <c r="C62" i="3"/>
  <c r="C63" i="3"/>
  <c r="C58" i="3"/>
  <c r="C64" i="3"/>
  <c r="C59" i="3"/>
  <c r="C65" i="3"/>
  <c r="C60" i="3"/>
  <c r="C57" i="3"/>
  <c r="F75" i="9"/>
  <c r="F53" i="3"/>
  <c r="G53" i="3" s="1"/>
  <c r="D24" i="9" l="1"/>
  <c r="F12" i="9"/>
  <c r="D12" i="9"/>
  <c r="C12" i="9"/>
  <c r="E11" i="9"/>
  <c r="E10" i="9"/>
  <c r="H10" i="9" s="1"/>
  <c r="E9" i="9"/>
  <c r="H9" i="9" s="1"/>
  <c r="E8" i="9"/>
  <c r="H8" i="9" s="1"/>
  <c r="E7" i="9"/>
  <c r="E6" i="9"/>
  <c r="E5" i="9"/>
  <c r="H5" i="9" s="1"/>
  <c r="E4" i="9"/>
  <c r="H4" i="9" s="1"/>
  <c r="E30" i="13"/>
  <c r="E18" i="13"/>
  <c r="D18" i="13"/>
  <c r="F17" i="13"/>
  <c r="F29" i="13" s="1"/>
  <c r="F16" i="13"/>
  <c r="F28" i="13" s="1"/>
  <c r="F15" i="13"/>
  <c r="F27" i="13" s="1"/>
  <c r="F14" i="13"/>
  <c r="F26" i="13" s="1"/>
  <c r="F13" i="13"/>
  <c r="F25" i="13" s="1"/>
  <c r="F12" i="13"/>
  <c r="F24" i="13" s="1"/>
  <c r="F11" i="13"/>
  <c r="F23" i="13" s="1"/>
  <c r="F10" i="13"/>
  <c r="F22" i="13" s="1"/>
  <c r="P22" i="8"/>
  <c r="N22" i="8"/>
  <c r="H6" i="9" l="1"/>
  <c r="E18" i="9" s="1"/>
  <c r="H11" i="9"/>
  <c r="E23" i="9" s="1"/>
  <c r="H7" i="9"/>
  <c r="E19" i="9" s="1"/>
  <c r="D32" i="9"/>
  <c r="D29" i="9"/>
  <c r="D33" i="9"/>
  <c r="D34" i="9"/>
  <c r="D35" i="9"/>
  <c r="D36" i="9"/>
  <c r="D31" i="9"/>
  <c r="D28" i="9"/>
  <c r="D30" i="9"/>
  <c r="E42" i="13"/>
  <c r="E40" i="13"/>
  <c r="E36" i="13"/>
  <c r="E39" i="13"/>
  <c r="E38" i="13"/>
  <c r="E41" i="13"/>
  <c r="E35" i="13"/>
  <c r="E37" i="13"/>
  <c r="E34" i="13"/>
  <c r="H27" i="13"/>
  <c r="I27" i="13" s="1"/>
  <c r="H28" i="13"/>
  <c r="I28" i="13" s="1"/>
  <c r="H23" i="13"/>
  <c r="I23" i="13" s="1"/>
  <c r="H29" i="13"/>
  <c r="I29" i="13" s="1"/>
  <c r="H24" i="13"/>
  <c r="I24" i="13" s="1"/>
  <c r="H25" i="13"/>
  <c r="I25" i="13" s="1"/>
  <c r="H26" i="13"/>
  <c r="I26" i="13" s="1"/>
  <c r="H22" i="13"/>
  <c r="I22" i="13" s="1"/>
  <c r="F30" i="13"/>
  <c r="F35" i="13" s="1"/>
  <c r="E22" i="9"/>
  <c r="E21" i="9"/>
  <c r="E17" i="9"/>
  <c r="E16" i="9"/>
  <c r="E20" i="9"/>
  <c r="E12" i="9"/>
  <c r="F18" i="13"/>
  <c r="E61" i="9" l="1"/>
  <c r="F61" i="9" s="1"/>
  <c r="G61" i="9" s="1"/>
  <c r="F23" i="9"/>
  <c r="G23" i="9" s="1"/>
  <c r="F19" i="9"/>
  <c r="G19" i="9" s="1"/>
  <c r="E57" i="9"/>
  <c r="F57" i="9" s="1"/>
  <c r="G57" i="9" s="1"/>
  <c r="F18" i="9"/>
  <c r="G18" i="9" s="1"/>
  <c r="E56" i="9"/>
  <c r="F56" i="9" s="1"/>
  <c r="G56" i="9" s="1"/>
  <c r="F34" i="13"/>
  <c r="F37" i="13"/>
  <c r="F38" i="13"/>
  <c r="F40" i="13"/>
  <c r="F41" i="13"/>
  <c r="H30" i="13"/>
  <c r="I30" i="13" s="1"/>
  <c r="F42" i="13"/>
  <c r="F39" i="13"/>
  <c r="F36" i="13"/>
  <c r="E60" i="9"/>
  <c r="F60" i="9" s="1"/>
  <c r="G60" i="9" s="1"/>
  <c r="F22" i="9"/>
  <c r="G22" i="9" s="1"/>
  <c r="E58" i="9"/>
  <c r="F58" i="9" s="1"/>
  <c r="G58" i="9" s="1"/>
  <c r="F20" i="9"/>
  <c r="G20" i="9" s="1"/>
  <c r="E54" i="9"/>
  <c r="F54" i="9" s="1"/>
  <c r="F16" i="9"/>
  <c r="E24" i="9"/>
  <c r="E55" i="9"/>
  <c r="F55" i="9" s="1"/>
  <c r="G55" i="9" s="1"/>
  <c r="F17" i="9"/>
  <c r="G17" i="9" s="1"/>
  <c r="E59" i="9"/>
  <c r="F59" i="9" s="1"/>
  <c r="G59" i="9" s="1"/>
  <c r="F21" i="9"/>
  <c r="G21" i="9" s="1"/>
  <c r="H12" i="9"/>
  <c r="G54" i="9" l="1"/>
  <c r="F62" i="9"/>
  <c r="G62" i="9" s="1"/>
  <c r="E36" i="9"/>
  <c r="E35" i="9"/>
  <c r="E31" i="9"/>
  <c r="E30" i="9"/>
  <c r="E34" i="9"/>
  <c r="E33" i="9"/>
  <c r="E32" i="9"/>
  <c r="E29" i="9"/>
  <c r="E28" i="9"/>
  <c r="E62" i="9"/>
  <c r="F24" i="9"/>
  <c r="G24" i="9" s="1"/>
  <c r="G16" i="9"/>
  <c r="Q35" i="3" l="1"/>
  <c r="Q41" i="3" s="1"/>
  <c r="P35" i="3" l="1"/>
  <c r="P41" i="3" s="1"/>
  <c r="O35" i="3"/>
  <c r="O41" i="3" s="1"/>
  <c r="N35" i="3"/>
  <c r="M35" i="3"/>
  <c r="N41" i="3" l="1"/>
  <c r="M41" i="3"/>
  <c r="H35" i="3"/>
  <c r="I35" i="3" l="1"/>
  <c r="L35" i="3" l="1"/>
  <c r="L41" i="3" s="1"/>
  <c r="K35" i="3"/>
  <c r="K41" i="3" s="1"/>
  <c r="G35" i="3"/>
  <c r="F35" i="3"/>
  <c r="C35" i="3"/>
  <c r="C22" i="2" l="1"/>
  <c r="D22" i="2"/>
</calcChain>
</file>

<file path=xl/sharedStrings.xml><?xml version="1.0" encoding="utf-8"?>
<sst xmlns="http://schemas.openxmlformats.org/spreadsheetml/2006/main" count="460" uniqueCount="164">
  <si>
    <t>Ekonomická fakulta</t>
  </si>
  <si>
    <t>Filozofická fakulta</t>
  </si>
  <si>
    <t>Fakulta rybářství a ochrany vod</t>
  </si>
  <si>
    <t>Pedagogická fakulta</t>
  </si>
  <si>
    <t>Přírodovědecká fakulta</t>
  </si>
  <si>
    <t>Teologická fakulta</t>
  </si>
  <si>
    <t>Zdravotně sociální fakulta</t>
  </si>
  <si>
    <t>Celkem</t>
  </si>
  <si>
    <t xml:space="preserve">Dotace na RVO ve výši dané Rozhodnutím o poskytnutí dotace MŠMT </t>
  </si>
  <si>
    <t>celkem fakulty</t>
  </si>
  <si>
    <t>xxx</t>
  </si>
  <si>
    <t>EF</t>
  </si>
  <si>
    <t>FF</t>
  </si>
  <si>
    <t>FROV</t>
  </si>
  <si>
    <t>PF</t>
  </si>
  <si>
    <t>TF</t>
  </si>
  <si>
    <t>ZF</t>
  </si>
  <si>
    <t>ZSF</t>
  </si>
  <si>
    <t>kritérium 2
mobility</t>
  </si>
  <si>
    <t>kritérium 3
Graduation rate</t>
  </si>
  <si>
    <t>kritérium 4
externí příjmy</t>
  </si>
  <si>
    <t>1.1 Objemy A JU</t>
  </si>
  <si>
    <t>2 Dotace na RVO</t>
  </si>
  <si>
    <t>Porovnání v letech</t>
  </si>
  <si>
    <t>3 Rekapituace</t>
  </si>
  <si>
    <t>KaM JU</t>
  </si>
  <si>
    <t>celkem</t>
  </si>
  <si>
    <t>1.2 Objemy K JU</t>
  </si>
  <si>
    <t>z ukazatele A</t>
  </si>
  <si>
    <t>z ukazatele K</t>
  </si>
  <si>
    <t>Fakulta</t>
  </si>
  <si>
    <t>Podíl na fixní části</t>
  </si>
  <si>
    <t>Podíl na fixní části - 90%</t>
  </si>
  <si>
    <t>Podíl na variabilní části - 10%</t>
  </si>
  <si>
    <t xml:space="preserve">Podíl na variabilní části </t>
  </si>
  <si>
    <t>Podíl fixní části - 70%</t>
  </si>
  <si>
    <t>Podíl variabilní části - 30%</t>
  </si>
  <si>
    <t xml:space="preserve">kritérium 1
DKRVO </t>
  </si>
  <si>
    <t>kritérium 6
pedagogové a vědci cizinci</t>
  </si>
  <si>
    <t>kritérium 5
publikující</t>
  </si>
  <si>
    <t>Do FSP JU - 5 % "A"</t>
  </si>
  <si>
    <t>Metodika JU - 95 % "A" (po odečtení FSP)</t>
  </si>
  <si>
    <t>Podíl na variabilní části</t>
  </si>
  <si>
    <t>5 % z "K" do FSP</t>
  </si>
  <si>
    <t>95 % z "K" k rozdělení</t>
  </si>
  <si>
    <t>"A+K" k rozdělení CELKEM</t>
  </si>
  <si>
    <t>"FSP"</t>
  </si>
  <si>
    <t>Příspěvek "A+K" CELKEM</t>
  </si>
  <si>
    <t>PŘF</t>
  </si>
  <si>
    <t>Episteme</t>
  </si>
  <si>
    <t>K rozdělení</t>
  </si>
  <si>
    <t>Mimořádné RVO - 3,5%</t>
  </si>
  <si>
    <t>Episteme - 0,5%</t>
  </si>
  <si>
    <t>Výzkumné infrastruktury - 6,5%</t>
  </si>
  <si>
    <t>Publikační výkon</t>
  </si>
  <si>
    <t>Akademická knihovna - 2,0%</t>
  </si>
  <si>
    <t xml:space="preserve">Fakulta </t>
  </si>
  <si>
    <t>CELKEM fakulty</t>
  </si>
  <si>
    <t>RUV bodové hodnocení</t>
  </si>
  <si>
    <t>k rozdělení RVO celkem</t>
  </si>
  <si>
    <t>výzkumné infrastrukt.</t>
  </si>
  <si>
    <t>publikační výkon</t>
  </si>
  <si>
    <t>Mimořádné RVO</t>
  </si>
  <si>
    <t>Akademická kniovna</t>
  </si>
  <si>
    <t>CELKEM</t>
  </si>
  <si>
    <t>rozpočítáno dle poměrů předchozího roku</t>
  </si>
  <si>
    <t>rozpočítáno dle metodiky JU</t>
  </si>
  <si>
    <t>ukazatel K</t>
  </si>
  <si>
    <t xml:space="preserve"> ukazatel A  </t>
  </si>
  <si>
    <t>Podíly jednotlivých součástí na celkovém objemu prostředků příspěvku "A"</t>
  </si>
  <si>
    <t>Podíly jednotlivých součástí na celkovém objemu prostředků příspěvku "K"</t>
  </si>
  <si>
    <t>Podíly jednotlivých součástí na celkovém objemu dotace RVO</t>
  </si>
  <si>
    <t>Podíly jednotlivých součástí na celkovém objemu prostředků příspěvku "A+K"</t>
  </si>
  <si>
    <t>3.3 Podíl součástí JU na financování R a AK JU</t>
  </si>
  <si>
    <t xml:space="preserve">publikační výkon                 </t>
  </si>
  <si>
    <t>Objem prostředků CELKEM 2022</t>
  </si>
  <si>
    <t>Podíl na příspěvku "A" 2022</t>
  </si>
  <si>
    <t>ukazatel K 2022</t>
  </si>
  <si>
    <t>Podíl na příspěvku "K" 2022</t>
  </si>
  <si>
    <t>kritérium 7
studijní agenda</t>
  </si>
  <si>
    <t>Podíl na příspěvku "A+K" 2022</t>
  </si>
  <si>
    <t>Fakulta zemědělská a technologická</t>
  </si>
  <si>
    <t>FZT</t>
  </si>
  <si>
    <t>rok 2022</t>
  </si>
  <si>
    <t>Objem prostředků příspěvku "A" (po odečtení FSP) 2022</t>
  </si>
  <si>
    <t>Objem prostředků CELKEM 2023</t>
  </si>
  <si>
    <t>Studia SDS</t>
  </si>
  <si>
    <t>Studia SDS*KEN</t>
  </si>
  <si>
    <t>Podíl na příspěvku "A" 2023</t>
  </si>
  <si>
    <t>Porovnání s rokem 2021 a 2022</t>
  </si>
  <si>
    <t>Částka "K" pro rok 2023:</t>
  </si>
  <si>
    <t>ukazatel K 2023</t>
  </si>
  <si>
    <t>Podíl na příspěvku "K" 2023</t>
  </si>
  <si>
    <t>příspěvek A+K 2023</t>
  </si>
  <si>
    <t>Podíl na příspěvku "A+K" 2023</t>
  </si>
  <si>
    <t>rok 2023</t>
  </si>
  <si>
    <t>dotace RVO 2022</t>
  </si>
  <si>
    <t>dotace RVO 2023</t>
  </si>
  <si>
    <t>Podíl na dotaci RVO 2022</t>
  </si>
  <si>
    <t>Podíl na dotaci RVO 2023</t>
  </si>
  <si>
    <t>Objem prostředků</t>
  </si>
  <si>
    <t>3.2. Podíly jednotlivých součástí na celkovém objemu všech zdrojů (A+K+"F" a dotace RVO)</t>
  </si>
  <si>
    <t>Ukazatel "K" 2023 CELKEM</t>
  </si>
  <si>
    <t>tab 1.1 - Příspěvek  - Fixní část RO I (ukazatel A) 2024; výpočet podílu fakult JU podle metodiky JU</t>
  </si>
  <si>
    <t>tab 1.4. Návrh na rozdělení ukazatele "F"- Koheze</t>
  </si>
  <si>
    <t>tab 1.2 - Příspěvek  - Výkonová část RO I (ukazatel K) 2024; výpočet objemu výkonové části pro jednotlivé fakulty JU</t>
  </si>
  <si>
    <t>tab 1.3 - Příspěvek A+K 2024</t>
  </si>
  <si>
    <t>tab 2 - Návrh na rozdělení disponibilního objemu dotace na rozvoj výzkumné organizace (RVO) pro rok 2024</t>
  </si>
  <si>
    <t>tab 3 - Příspěvek  - Výkonová a fixní část RO I - 2024; institucionální podpora RVO 2024; návrh rozdělení</t>
  </si>
  <si>
    <t>1.3 A+K 2024 final</t>
  </si>
  <si>
    <t>1.4 F-Koheze</t>
  </si>
  <si>
    <t>Objem prostředků příspěvku "A" (po odečtení FSP) 2023</t>
  </si>
  <si>
    <t>Objem prostředků příspěvku "A" (CELKEM) 2024</t>
  </si>
  <si>
    <t>rozpočítáno dle počtu studentů ve SDS a přepočtené KENem k 15.5.2023</t>
  </si>
  <si>
    <t>Objem prostředků fixní části 2024</t>
  </si>
  <si>
    <t>Objem prostředků CELKEM 2024</t>
  </si>
  <si>
    <t>Nárůst (2023-2024)</t>
  </si>
  <si>
    <t>Podíl na příspěvku "A" 2024</t>
  </si>
  <si>
    <t>Částka "K" pro rok 2024:</t>
  </si>
  <si>
    <t>Objem prostředků variabilní části 2024</t>
  </si>
  <si>
    <t>ukazatel K 2024</t>
  </si>
  <si>
    <t>Podíl na příspěvku "K" 2024</t>
  </si>
  <si>
    <t>Porovnání s rokem 2022 a 2023</t>
  </si>
  <si>
    <t>ukazatel A 2024</t>
  </si>
  <si>
    <t>Ukazatel K 2024</t>
  </si>
  <si>
    <t>příspěvek A+K celkem 2024</t>
  </si>
  <si>
    <t>Příspěvek A+K 2022</t>
  </si>
  <si>
    <t>příspěvek A+K 2024</t>
  </si>
  <si>
    <t>Příspěvek "A" 2024 - k rozdělení</t>
  </si>
  <si>
    <t>Příspěvek "K" 2024 - k rozdělení</t>
  </si>
  <si>
    <t>Podíl na příspěvku "A+K" 2024</t>
  </si>
  <si>
    <t>tab 1.4 - Ukazatel "F" - Koheze</t>
  </si>
  <si>
    <t>rok 2024</t>
  </si>
  <si>
    <t>Dle podílů v roce 2023</t>
  </si>
  <si>
    <t>Objem grantů (2019-2023)</t>
  </si>
  <si>
    <t>Počet grantů (2019-2023)</t>
  </si>
  <si>
    <t>Počet indi grantů GA JU (2019-2023)</t>
  </si>
  <si>
    <t>Počet excelentních grantů (2023)</t>
  </si>
  <si>
    <t>dle podílů DKRVO 2023</t>
  </si>
  <si>
    <t>BIBLIO    (2019-2021)</t>
  </si>
  <si>
    <t>NEBIBLIO   (2020-2022)</t>
  </si>
  <si>
    <t>objem grantů 2019-2023</t>
  </si>
  <si>
    <t>počet grantů 2019-2023</t>
  </si>
  <si>
    <t>počet indi grantů GA JU 2019-2023</t>
  </si>
  <si>
    <t>počet aktivních excelentních grantů 2023</t>
  </si>
  <si>
    <t>RUV bodové hodnocení (2018-2022)</t>
  </si>
  <si>
    <t>dle podílů v roce 2023</t>
  </si>
  <si>
    <t>RVO 2024 celkem</t>
  </si>
  <si>
    <t>dotace RVO 2024</t>
  </si>
  <si>
    <t>tab 3 - Příspěvek  - Výkonová a fixní část RO I - 2024; institucionální podpora DKRVO 2024; návrh rozdělení</t>
  </si>
  <si>
    <t>ukazatel A 2024
návrh</t>
  </si>
  <si>
    <t>ukazatel K 2024 návrh</t>
  </si>
  <si>
    <t>příspěvek A+K celkem 2024
návrh</t>
  </si>
  <si>
    <t>dotace RVO 2024
návrh</t>
  </si>
  <si>
    <t>institucionální prostředky 2024 celkem</t>
  </si>
  <si>
    <t>3.1 Vývoj institucionálních zdrojů celkem (příspěvku A + K  + "F" a dotace na DKRVO) v letech 2022 až 2024</t>
  </si>
  <si>
    <t>Nárůst 2023-2024</t>
  </si>
  <si>
    <t>3.4 Disponibilní prostředky fakult 2024 ve srovnání s roky 2023 a 2022 (bez prostředků FSP)</t>
  </si>
  <si>
    <t>3.5 Příspěvek do FSP ve srovnání 2023 a 2024</t>
  </si>
  <si>
    <t>"F" návrh</t>
  </si>
  <si>
    <t>Objem prostředků  CELKEM 2024</t>
  </si>
  <si>
    <t>Podíl                         50%-A  50%-K</t>
  </si>
  <si>
    <t>"F"                            50%-A  50%-K</t>
  </si>
  <si>
    <t>Podíl na dotaci RVO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</si>
</sst>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%"/>
    <numFmt numFmtId="165" formatCode="#,##0\ &quot;Kč&quot;"/>
    <numFmt numFmtId="166" formatCode="#,##0.00\ &quot;Kč&quot;"/>
    <numFmt numFmtId="167" formatCode="#,##0.000"/>
    <numFmt numFmtId="168" formatCode="0.000%"/>
    <numFmt numFmtId="169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0" fontId="1" fillId="0" borderId="0"/>
  </cellStyleXfs>
  <cellXfs count="437">
    <xf numFmtId="0" fontId="0" fillId="0" borderId="0" xfId="0"/>
    <xf numFmtId="0" fontId="4" fillId="0" borderId="0" xfId="2" applyFont="1"/>
    <xf numFmtId="0" fontId="5" fillId="0" borderId="0" xfId="0" applyFont="1"/>
    <xf numFmtId="0" fontId="6" fillId="0" borderId="0" xfId="2" applyFont="1"/>
    <xf numFmtId="0" fontId="7" fillId="0" borderId="0" xfId="2" applyFont="1"/>
    <xf numFmtId="0" fontId="1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7" fillId="0" borderId="0" xfId="0" applyFont="1"/>
    <xf numFmtId="166" fontId="0" fillId="0" borderId="0" xfId="0" applyNumberFormat="1"/>
    <xf numFmtId="3" fontId="0" fillId="0" borderId="2" xfId="0" applyNumberFormat="1" applyBorder="1"/>
    <xf numFmtId="3" fontId="0" fillId="0" borderId="0" xfId="0" applyNumberFormat="1"/>
    <xf numFmtId="0" fontId="0" fillId="0" borderId="2" xfId="0" applyBorder="1" applyAlignment="1">
      <alignment horizontal="center"/>
    </xf>
    <xf numFmtId="4" fontId="0" fillId="0" borderId="0" xfId="0" applyNumberFormat="1"/>
    <xf numFmtId="165" fontId="7" fillId="0" borderId="0" xfId="0" applyNumberFormat="1" applyFont="1" applyAlignment="1">
      <alignment horizontal="center"/>
    </xf>
    <xf numFmtId="3" fontId="6" fillId="0" borderId="0" xfId="0" applyNumberFormat="1" applyFont="1"/>
    <xf numFmtId="0" fontId="9" fillId="0" borderId="0" xfId="0" applyFont="1"/>
    <xf numFmtId="3" fontId="1" fillId="0" borderId="0" xfId="0" applyNumberFormat="1" applyFont="1"/>
    <xf numFmtId="165" fontId="6" fillId="0" borderId="0" xfId="0" applyNumberFormat="1" applyFont="1"/>
    <xf numFmtId="3" fontId="2" fillId="0" borderId="2" xfId="0" applyNumberFormat="1" applyFont="1" applyBorder="1"/>
    <xf numFmtId="0" fontId="4" fillId="0" borderId="0" xfId="5" applyFont="1" applyAlignment="1">
      <alignment vertical="center"/>
    </xf>
    <xf numFmtId="3" fontId="1" fillId="0" borderId="2" xfId="0" applyNumberFormat="1" applyFont="1" applyBorder="1"/>
    <xf numFmtId="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2" borderId="2" xfId="0" applyNumberFormat="1" applyFill="1" applyBorder="1" applyAlignment="1">
      <alignment horizontal="center" wrapText="1"/>
    </xf>
    <xf numFmtId="3" fontId="2" fillId="0" borderId="0" xfId="0" applyNumberFormat="1" applyFont="1"/>
    <xf numFmtId="0" fontId="0" fillId="5" borderId="0" xfId="0" applyFill="1"/>
    <xf numFmtId="0" fontId="4" fillId="0" borderId="0" xfId="0" applyFont="1"/>
    <xf numFmtId="4" fontId="4" fillId="0" borderId="0" xfId="0" applyNumberFormat="1" applyFont="1"/>
    <xf numFmtId="0" fontId="0" fillId="4" borderId="0" xfId="0" applyFill="1"/>
    <xf numFmtId="0" fontId="0" fillId="0" borderId="0" xfId="0" applyAlignment="1">
      <alignment horizontal="left" indent="1"/>
    </xf>
    <xf numFmtId="165" fontId="0" fillId="0" borderId="0" xfId="0" applyNumberFormat="1"/>
    <xf numFmtId="0" fontId="0" fillId="0" borderId="0" xfId="0" applyAlignment="1">
      <alignment horizontal="right"/>
    </xf>
    <xf numFmtId="10" fontId="0" fillId="0" borderId="2" xfId="0" applyNumberFormat="1" applyBorder="1" applyAlignment="1">
      <alignment horizontal="right" indent="1"/>
    </xf>
    <xf numFmtId="3" fontId="0" fillId="3" borderId="1" xfId="0" applyNumberFormat="1" applyFill="1" applyBorder="1" applyAlignment="1">
      <alignment horizontal="right" indent="1"/>
    </xf>
    <xf numFmtId="4" fontId="2" fillId="0" borderId="0" xfId="0" applyNumberFormat="1" applyFont="1"/>
    <xf numFmtId="0" fontId="10" fillId="6" borderId="0" xfId="0" applyFont="1" applyFill="1"/>
    <xf numFmtId="0" fontId="0" fillId="7" borderId="0" xfId="0" applyFill="1"/>
    <xf numFmtId="0" fontId="2" fillId="0" borderId="0" xfId="0" applyFont="1" applyAlignment="1">
      <alignment horizontal="center"/>
    </xf>
    <xf numFmtId="0" fontId="7" fillId="9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/>
    <xf numFmtId="10" fontId="1" fillId="0" borderId="0" xfId="0" applyNumberFormat="1" applyFont="1"/>
    <xf numFmtId="10" fontId="0" fillId="0" borderId="0" xfId="3" applyNumberFormat="1" applyFont="1" applyAlignment="1">
      <alignment horizontal="right" vertical="center"/>
    </xf>
    <xf numFmtId="10" fontId="0" fillId="0" borderId="0" xfId="0" applyNumberFormat="1" applyAlignment="1">
      <alignment horizontal="right" indent="1"/>
    </xf>
    <xf numFmtId="10" fontId="0" fillId="0" borderId="14" xfId="3" applyNumberFormat="1" applyFont="1" applyBorder="1" applyAlignment="1">
      <alignment horizontal="right" vertical="center"/>
    </xf>
    <xf numFmtId="3" fontId="0" fillId="0" borderId="15" xfId="3" applyNumberFormat="1" applyFont="1" applyBorder="1" applyAlignment="1">
      <alignment horizontal="right" vertical="center"/>
    </xf>
    <xf numFmtId="10" fontId="7" fillId="0" borderId="14" xfId="3" applyNumberFormat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center" wrapText="1"/>
    </xf>
    <xf numFmtId="10" fontId="0" fillId="0" borderId="14" xfId="0" applyNumberFormat="1" applyBorder="1" applyAlignment="1">
      <alignment horizontal="right" indent="1"/>
    </xf>
    <xf numFmtId="3" fontId="0" fillId="0" borderId="15" xfId="0" applyNumberFormat="1" applyBorder="1" applyAlignment="1">
      <alignment horizontal="right" indent="1"/>
    </xf>
    <xf numFmtId="0" fontId="6" fillId="0" borderId="22" xfId="2" applyFont="1" applyBorder="1" applyAlignment="1">
      <alignment horizontal="center" vertical="center" wrapText="1"/>
    </xf>
    <xf numFmtId="3" fontId="0" fillId="0" borderId="22" xfId="3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 indent="1"/>
    </xf>
    <xf numFmtId="0" fontId="2" fillId="0" borderId="22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indent="1"/>
    </xf>
    <xf numFmtId="0" fontId="0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3" fontId="0" fillId="0" borderId="14" xfId="0" applyNumberFormat="1" applyBorder="1"/>
    <xf numFmtId="169" fontId="0" fillId="0" borderId="15" xfId="0" applyNumberFormat="1" applyBorder="1" applyAlignment="1">
      <alignment horizontal="center"/>
    </xf>
    <xf numFmtId="3" fontId="0" fillId="0" borderId="16" xfId="0" applyNumberFormat="1" applyBorder="1"/>
    <xf numFmtId="169" fontId="0" fillId="0" borderId="17" xfId="0" applyNumberFormat="1" applyBorder="1" applyAlignment="1">
      <alignment horizontal="center"/>
    </xf>
    <xf numFmtId="3" fontId="0" fillId="10" borderId="5" xfId="0" applyNumberFormat="1" applyFill="1" applyBorder="1"/>
    <xf numFmtId="169" fontId="0" fillId="10" borderId="7" xfId="0" applyNumberFormat="1" applyFill="1" applyBorder="1" applyAlignment="1">
      <alignment horizontal="center"/>
    </xf>
    <xf numFmtId="10" fontId="0" fillId="0" borderId="29" xfId="0" applyNumberFormat="1" applyBorder="1" applyAlignment="1">
      <alignment horizontal="right" indent="1"/>
    </xf>
    <xf numFmtId="10" fontId="0" fillId="0" borderId="30" xfId="0" applyNumberFormat="1" applyBorder="1" applyAlignment="1">
      <alignment horizontal="right" indent="1"/>
    </xf>
    <xf numFmtId="3" fontId="0" fillId="0" borderId="31" xfId="0" applyNumberFormat="1" applyBorder="1" applyAlignment="1">
      <alignment horizontal="right" indent="1"/>
    </xf>
    <xf numFmtId="10" fontId="2" fillId="2" borderId="32" xfId="0" applyNumberFormat="1" applyFont="1" applyFill="1" applyBorder="1" applyAlignment="1">
      <alignment horizontal="right"/>
    </xf>
    <xf numFmtId="10" fontId="2" fillId="2" borderId="33" xfId="0" applyNumberFormat="1" applyFont="1" applyFill="1" applyBorder="1" applyAlignment="1">
      <alignment horizontal="right"/>
    </xf>
    <xf numFmtId="3" fontId="2" fillId="2" borderId="34" xfId="0" applyNumberFormat="1" applyFont="1" applyFill="1" applyBorder="1" applyAlignment="1">
      <alignment horizontal="right" indent="1"/>
    </xf>
    <xf numFmtId="168" fontId="0" fillId="0" borderId="28" xfId="0" applyNumberFormat="1" applyBorder="1" applyAlignment="1">
      <alignment horizontal="right" indent="1"/>
    </xf>
    <xf numFmtId="3" fontId="0" fillId="0" borderId="28" xfId="0" applyNumberFormat="1" applyBorder="1" applyAlignment="1">
      <alignment horizontal="right" indent="1"/>
    </xf>
    <xf numFmtId="168" fontId="0" fillId="0" borderId="28" xfId="0" applyNumberFormat="1" applyBorder="1"/>
    <xf numFmtId="3" fontId="0" fillId="0" borderId="0" xfId="0" applyNumberFormat="1" applyAlignment="1">
      <alignment horizontal="right" indent="1"/>
    </xf>
    <xf numFmtId="3" fontId="0" fillId="3" borderId="35" xfId="0" applyNumberFormat="1" applyFill="1" applyBorder="1" applyAlignment="1">
      <alignment horizontal="right" indent="1"/>
    </xf>
    <xf numFmtId="3" fontId="2" fillId="2" borderId="36" xfId="0" applyNumberFormat="1" applyFont="1" applyFill="1" applyBorder="1" applyAlignment="1">
      <alignment horizontal="right" indent="1"/>
    </xf>
    <xf numFmtId="10" fontId="0" fillId="0" borderId="29" xfId="3" applyNumberFormat="1" applyFont="1" applyBorder="1" applyAlignment="1">
      <alignment horizontal="right" vertical="center"/>
    </xf>
    <xf numFmtId="3" fontId="0" fillId="0" borderId="31" xfId="3" applyNumberFormat="1" applyFont="1" applyBorder="1" applyAlignment="1">
      <alignment horizontal="right" vertical="center"/>
    </xf>
    <xf numFmtId="3" fontId="2" fillId="2" borderId="34" xfId="0" applyNumberFormat="1" applyFont="1" applyFill="1" applyBorder="1" applyAlignment="1">
      <alignment horizontal="right"/>
    </xf>
    <xf numFmtId="0" fontId="7" fillId="0" borderId="28" xfId="3" applyFont="1" applyBorder="1" applyAlignment="1">
      <alignment horizontal="left" vertical="center"/>
    </xf>
    <xf numFmtId="0" fontId="0" fillId="0" borderId="35" xfId="3" applyFont="1" applyBorder="1" applyAlignment="1">
      <alignment horizontal="left" vertical="center"/>
    </xf>
    <xf numFmtId="0" fontId="2" fillId="2" borderId="36" xfId="0" applyFont="1" applyFill="1" applyBorder="1" applyAlignment="1">
      <alignment horizontal="center"/>
    </xf>
    <xf numFmtId="3" fontId="2" fillId="2" borderId="37" xfId="0" applyNumberFormat="1" applyFont="1" applyFill="1" applyBorder="1" applyAlignment="1">
      <alignment horizontal="right"/>
    </xf>
    <xf numFmtId="3" fontId="2" fillId="2" borderId="33" xfId="0" applyNumberFormat="1" applyFont="1" applyFill="1" applyBorder="1" applyAlignment="1">
      <alignment horizontal="right"/>
    </xf>
    <xf numFmtId="3" fontId="7" fillId="0" borderId="28" xfId="3" applyNumberFormat="1" applyFont="1" applyBorder="1" applyAlignment="1">
      <alignment horizontal="right" vertical="center"/>
    </xf>
    <xf numFmtId="0" fontId="6" fillId="2" borderId="18" xfId="3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7" fillId="0" borderId="14" xfId="3" applyFont="1" applyBorder="1" applyAlignment="1">
      <alignment horizontal="left" vertical="center" indent="1"/>
    </xf>
    <xf numFmtId="0" fontId="1" fillId="0" borderId="14" xfId="3" applyFont="1" applyBorder="1" applyAlignment="1">
      <alignment horizontal="left" vertical="center" indent="1"/>
    </xf>
    <xf numFmtId="10" fontId="1" fillId="0" borderId="21" xfId="0" applyNumberFormat="1" applyFont="1" applyBorder="1"/>
    <xf numFmtId="3" fontId="1" fillId="0" borderId="21" xfId="0" applyNumberFormat="1" applyFont="1" applyBorder="1"/>
    <xf numFmtId="0" fontId="6" fillId="2" borderId="5" xfId="2" applyFont="1" applyFill="1" applyBorder="1" applyAlignment="1">
      <alignment horizontal="left" vertical="center" indent="1"/>
    </xf>
    <xf numFmtId="9" fontId="2" fillId="2" borderId="6" xfId="1" applyFont="1" applyFill="1" applyBorder="1"/>
    <xf numFmtId="3" fontId="2" fillId="2" borderId="6" xfId="1" applyNumberFormat="1" applyFont="1" applyFill="1" applyBorder="1"/>
    <xf numFmtId="3" fontId="2" fillId="2" borderId="7" xfId="1" applyNumberFormat="1" applyFont="1" applyFill="1" applyBorder="1"/>
    <xf numFmtId="0" fontId="2" fillId="8" borderId="0" xfId="0" applyFont="1" applyFill="1"/>
    <xf numFmtId="0" fontId="0" fillId="0" borderId="28" xfId="0" applyBorder="1"/>
    <xf numFmtId="3" fontId="7" fillId="0" borderId="28" xfId="2" applyNumberFormat="1" applyFont="1" applyBorder="1"/>
    <xf numFmtId="0" fontId="2" fillId="8" borderId="39" xfId="0" applyFont="1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6" fillId="2" borderId="19" xfId="3" applyFont="1" applyFill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 wrapText="1"/>
    </xf>
    <xf numFmtId="3" fontId="0" fillId="3" borderId="15" xfId="0" applyNumberFormat="1" applyFill="1" applyBorder="1"/>
    <xf numFmtId="0" fontId="6" fillId="2" borderId="16" xfId="2" applyFont="1" applyFill="1" applyBorder="1" applyAlignment="1">
      <alignment horizontal="left" vertical="center" indent="1"/>
    </xf>
    <xf numFmtId="3" fontId="6" fillId="2" borderId="21" xfId="2" applyNumberFormat="1" applyFont="1" applyFill="1" applyBorder="1" applyAlignment="1">
      <alignment vertical="center"/>
    </xf>
    <xf numFmtId="3" fontId="6" fillId="2" borderId="17" xfId="2" applyNumberFormat="1" applyFont="1" applyFill="1" applyBorder="1" applyAlignment="1">
      <alignment vertical="center"/>
    </xf>
    <xf numFmtId="3" fontId="2" fillId="2" borderId="21" xfId="0" applyNumberFormat="1" applyFont="1" applyFill="1" applyBorder="1"/>
    <xf numFmtId="169" fontId="0" fillId="8" borderId="17" xfId="0" applyNumberFormat="1" applyFill="1" applyBorder="1" applyAlignment="1">
      <alignment horizontal="center"/>
    </xf>
    <xf numFmtId="0" fontId="7" fillId="0" borderId="45" xfId="3" applyFont="1" applyBorder="1" applyAlignment="1">
      <alignment horizontal="left" vertical="center" indent="1"/>
    </xf>
    <xf numFmtId="0" fontId="0" fillId="0" borderId="45" xfId="3" applyFont="1" applyBorder="1" applyAlignment="1">
      <alignment horizontal="left" vertical="center" indent="1"/>
    </xf>
    <xf numFmtId="0" fontId="6" fillId="2" borderId="46" xfId="2" applyFont="1" applyFill="1" applyBorder="1" applyAlignment="1">
      <alignment horizontal="left" vertical="center" indent="1"/>
    </xf>
    <xf numFmtId="3" fontId="6" fillId="2" borderId="16" xfId="2" applyNumberFormat="1" applyFont="1" applyFill="1" applyBorder="1" applyAlignment="1">
      <alignment vertical="center"/>
    </xf>
    <xf numFmtId="0" fontId="7" fillId="0" borderId="22" xfId="3" applyFont="1" applyBorder="1" applyAlignment="1">
      <alignment horizontal="left" vertical="center" indent="1"/>
    </xf>
    <xf numFmtId="0" fontId="0" fillId="0" borderId="22" xfId="3" applyFont="1" applyBorder="1" applyAlignment="1">
      <alignment horizontal="left" vertical="center" indent="1"/>
    </xf>
    <xf numFmtId="0" fontId="6" fillId="0" borderId="22" xfId="3" applyFont="1" applyBorder="1" applyAlignment="1">
      <alignment horizontal="center" vertical="center" wrapText="1"/>
    </xf>
    <xf numFmtId="0" fontId="6" fillId="0" borderId="22" xfId="2" applyFont="1" applyBorder="1" applyAlignment="1">
      <alignment horizontal="left" vertical="center" indent="1"/>
    </xf>
    <xf numFmtId="0" fontId="6" fillId="2" borderId="18" xfId="2" applyFont="1" applyFill="1" applyBorder="1" applyAlignment="1">
      <alignment horizontal="center" vertical="center" wrapText="1"/>
    </xf>
    <xf numFmtId="3" fontId="1" fillId="0" borderId="14" xfId="0" applyNumberFormat="1" applyFont="1" applyBorder="1"/>
    <xf numFmtId="3" fontId="2" fillId="2" borderId="16" xfId="0" applyNumberFormat="1" applyFont="1" applyFill="1" applyBorder="1"/>
    <xf numFmtId="3" fontId="0" fillId="0" borderId="14" xfId="0" applyNumberFormat="1" applyBorder="1" applyAlignment="1">
      <alignment horizontal="center"/>
    </xf>
    <xf numFmtId="3" fontId="0" fillId="8" borderId="16" xfId="0" applyNumberFormat="1" applyFill="1" applyBorder="1" applyAlignment="1">
      <alignment horizontal="center"/>
    </xf>
    <xf numFmtId="0" fontId="6" fillId="2" borderId="26" xfId="3" applyFont="1" applyFill="1" applyBorder="1" applyAlignment="1">
      <alignment horizontal="center" vertical="center" wrapText="1"/>
    </xf>
    <xf numFmtId="0" fontId="6" fillId="8" borderId="0" xfId="0" applyFont="1" applyFill="1"/>
    <xf numFmtId="165" fontId="6" fillId="8" borderId="0" xfId="0" applyNumberFormat="1" applyFont="1" applyFill="1" applyAlignment="1">
      <alignment horizontal="center"/>
    </xf>
    <xf numFmtId="0" fontId="7" fillId="0" borderId="53" xfId="0" applyFont="1" applyBorder="1"/>
    <xf numFmtId="0" fontId="6" fillId="0" borderId="53" xfId="0" applyFont="1" applyBorder="1"/>
    <xf numFmtId="169" fontId="7" fillId="0" borderId="0" xfId="0" applyNumberFormat="1" applyFont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2" fillId="2" borderId="4" xfId="0" applyFont="1" applyFill="1" applyBorder="1"/>
    <xf numFmtId="0" fontId="0" fillId="0" borderId="22" xfId="0" applyBorder="1"/>
    <xf numFmtId="0" fontId="2" fillId="0" borderId="22" xfId="0" applyFont="1" applyBorder="1"/>
    <xf numFmtId="10" fontId="0" fillId="0" borderId="14" xfId="0" applyNumberFormat="1" applyBorder="1" applyAlignment="1">
      <alignment horizontal="center"/>
    </xf>
    <xf numFmtId="3" fontId="2" fillId="0" borderId="15" xfId="0" applyNumberFormat="1" applyFont="1" applyBorder="1"/>
    <xf numFmtId="10" fontId="2" fillId="2" borderId="16" xfId="0" applyNumberFormat="1" applyFont="1" applyFill="1" applyBorder="1" applyAlignment="1">
      <alignment horizontal="center"/>
    </xf>
    <xf numFmtId="10" fontId="2" fillId="2" borderId="21" xfId="0" applyNumberFormat="1" applyFont="1" applyFill="1" applyBorder="1" applyAlignment="1">
      <alignment horizontal="center"/>
    </xf>
    <xf numFmtId="3" fontId="2" fillId="2" borderId="17" xfId="0" applyNumberFormat="1" applyFont="1" applyFill="1" applyBorder="1"/>
    <xf numFmtId="3" fontId="0" fillId="0" borderId="1" xfId="0" applyNumberFormat="1" applyBorder="1"/>
    <xf numFmtId="3" fontId="2" fillId="2" borderId="4" xfId="0" applyNumberFormat="1" applyFont="1" applyFill="1" applyBorder="1"/>
    <xf numFmtId="0" fontId="0" fillId="0" borderId="0" xfId="0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Border="1"/>
    <xf numFmtId="3" fontId="0" fillId="3" borderId="3" xfId="0" applyNumberFormat="1" applyFill="1" applyBorder="1"/>
    <xf numFmtId="3" fontId="0" fillId="3" borderId="1" xfId="0" applyNumberFormat="1" applyFill="1" applyBorder="1"/>
    <xf numFmtId="3" fontId="0" fillId="3" borderId="4" xfId="0" applyNumberFormat="1" applyFill="1" applyBorder="1"/>
    <xf numFmtId="3" fontId="2" fillId="3" borderId="9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167" fontId="0" fillId="0" borderId="0" xfId="0" applyNumberFormat="1"/>
    <xf numFmtId="3" fontId="2" fillId="0" borderId="0" xfId="0" applyNumberFormat="1" applyFont="1" applyAlignment="1">
      <alignment horizontal="center"/>
    </xf>
    <xf numFmtId="0" fontId="7" fillId="0" borderId="22" xfId="0" applyFont="1" applyBorder="1"/>
    <xf numFmtId="0" fontId="10" fillId="0" borderId="22" xfId="0" applyFont="1" applyBorder="1"/>
    <xf numFmtId="0" fontId="12" fillId="0" borderId="22" xfId="0" applyFont="1" applyBorder="1"/>
    <xf numFmtId="0" fontId="7" fillId="0" borderId="57" xfId="3" applyFont="1" applyBorder="1" applyAlignment="1">
      <alignment horizontal="left" vertical="center" indent="1"/>
    </xf>
    <xf numFmtId="0" fontId="1" fillId="0" borderId="57" xfId="3" applyFont="1" applyBorder="1" applyAlignment="1">
      <alignment horizontal="left" vertical="center" indent="1"/>
    </xf>
    <xf numFmtId="169" fontId="1" fillId="0" borderId="15" xfId="0" applyNumberFormat="1" applyFont="1" applyBorder="1" applyAlignment="1">
      <alignment horizontal="center"/>
    </xf>
    <xf numFmtId="169" fontId="1" fillId="0" borderId="1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3" fontId="2" fillId="3" borderId="1" xfId="0" applyNumberFormat="1" applyFont="1" applyFill="1" applyBorder="1"/>
    <xf numFmtId="0" fontId="6" fillId="0" borderId="16" xfId="2" applyFont="1" applyBorder="1" applyAlignment="1">
      <alignment horizontal="left" vertical="center" indent="1"/>
    </xf>
    <xf numFmtId="3" fontId="6" fillId="0" borderId="21" xfId="2" applyNumberFormat="1" applyFont="1" applyBorder="1" applyAlignment="1">
      <alignment vertical="center"/>
    </xf>
    <xf numFmtId="3" fontId="2" fillId="0" borderId="21" xfId="0" applyNumberFormat="1" applyFont="1" applyBorder="1"/>
    <xf numFmtId="3" fontId="2" fillId="0" borderId="17" xfId="0" applyNumberFormat="1" applyFont="1" applyBorder="1"/>
    <xf numFmtId="3" fontId="0" fillId="0" borderId="15" xfId="0" applyNumberFormat="1" applyBorder="1"/>
    <xf numFmtId="0" fontId="6" fillId="0" borderId="14" xfId="2" applyFont="1" applyBorder="1" applyAlignment="1">
      <alignment horizontal="left" vertical="center" indent="1"/>
    </xf>
    <xf numFmtId="0" fontId="6" fillId="2" borderId="3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indent="1"/>
    </xf>
    <xf numFmtId="0" fontId="1" fillId="0" borderId="1" xfId="3" applyFont="1" applyBorder="1" applyAlignment="1">
      <alignment horizontal="left" vertical="center" indent="1"/>
    </xf>
    <xf numFmtId="0" fontId="6" fillId="0" borderId="4" xfId="2" applyFont="1" applyBorder="1" applyAlignment="1">
      <alignment horizontal="left" vertical="center" indent="1"/>
    </xf>
    <xf numFmtId="3" fontId="6" fillId="0" borderId="16" xfId="2" applyNumberFormat="1" applyFont="1" applyBorder="1" applyAlignment="1">
      <alignment vertical="center"/>
    </xf>
    <xf numFmtId="0" fontId="1" fillId="0" borderId="22" xfId="3" applyFont="1" applyBorder="1" applyAlignment="1">
      <alignment horizontal="left" vertical="center" indent="1"/>
    </xf>
    <xf numFmtId="0" fontId="0" fillId="0" borderId="57" xfId="0" applyBorder="1"/>
    <xf numFmtId="0" fontId="2" fillId="0" borderId="25" xfId="0" applyFont="1" applyBorder="1"/>
    <xf numFmtId="0" fontId="7" fillId="0" borderId="0" xfId="3" applyFont="1" applyAlignment="1">
      <alignment horizontal="left" vertical="center" indent="1"/>
    </xf>
    <xf numFmtId="3" fontId="6" fillId="2" borderId="60" xfId="2" applyNumberFormat="1" applyFont="1" applyFill="1" applyBorder="1" applyAlignment="1">
      <alignment horizontal="right" vertical="center" indent="1"/>
    </xf>
    <xf numFmtId="10" fontId="1" fillId="0" borderId="14" xfId="0" applyNumberFormat="1" applyFont="1" applyBorder="1"/>
    <xf numFmtId="3" fontId="2" fillId="3" borderId="15" xfId="0" applyNumberFormat="1" applyFont="1" applyFill="1" applyBorder="1"/>
    <xf numFmtId="10" fontId="1" fillId="0" borderId="16" xfId="0" applyNumberFormat="1" applyFont="1" applyBorder="1"/>
    <xf numFmtId="3" fontId="2" fillId="3" borderId="17" xfId="0" applyNumberFormat="1" applyFont="1" applyFill="1" applyBorder="1"/>
    <xf numFmtId="9" fontId="2" fillId="2" borderId="5" xfId="1" applyFont="1" applyFill="1" applyBorder="1"/>
    <xf numFmtId="0" fontId="7" fillId="2" borderId="26" xfId="3" applyFont="1" applyFill="1" applyBorder="1" applyAlignment="1">
      <alignment horizontal="center" vertical="center" wrapText="1"/>
    </xf>
    <xf numFmtId="0" fontId="7" fillId="2" borderId="61" xfId="2" applyFont="1" applyFill="1" applyBorder="1" applyAlignment="1">
      <alignment horizontal="left" vertical="center" indent="1"/>
    </xf>
    <xf numFmtId="0" fontId="7" fillId="0" borderId="28" xfId="3" applyFont="1" applyBorder="1" applyAlignment="1">
      <alignment horizontal="left" vertical="center" indent="1"/>
    </xf>
    <xf numFmtId="164" fontId="1" fillId="0" borderId="28" xfId="0" applyNumberFormat="1" applyFont="1" applyBorder="1"/>
    <xf numFmtId="3" fontId="1" fillId="0" borderId="28" xfId="0" applyNumberFormat="1" applyFont="1" applyBorder="1"/>
    <xf numFmtId="3" fontId="1" fillId="0" borderId="16" xfId="0" applyNumberFormat="1" applyFont="1" applyBorder="1"/>
    <xf numFmtId="0" fontId="7" fillId="0" borderId="28" xfId="3" applyFont="1" applyBorder="1" applyAlignment="1">
      <alignment horizontal="right" vertical="center" indent="1"/>
    </xf>
    <xf numFmtId="3" fontId="1" fillId="0" borderId="28" xfId="0" applyNumberFormat="1" applyFont="1" applyBorder="1" applyAlignment="1">
      <alignment horizontal="center"/>
    </xf>
    <xf numFmtId="169" fontId="1" fillId="0" borderId="28" xfId="0" applyNumberFormat="1" applyFont="1" applyBorder="1" applyAlignment="1">
      <alignment horizontal="center"/>
    </xf>
    <xf numFmtId="0" fontId="6" fillId="2" borderId="62" xfId="2" applyFont="1" applyFill="1" applyBorder="1" applyAlignment="1">
      <alignment horizontal="center" vertical="center" wrapText="1"/>
    </xf>
    <xf numFmtId="0" fontId="0" fillId="0" borderId="63" xfId="0" applyBorder="1"/>
    <xf numFmtId="0" fontId="0" fillId="0" borderId="64" xfId="0" applyBorder="1"/>
    <xf numFmtId="0" fontId="6" fillId="8" borderId="65" xfId="2" applyFont="1" applyFill="1" applyBorder="1"/>
    <xf numFmtId="0" fontId="7" fillId="0" borderId="65" xfId="2" applyFont="1" applyBorder="1"/>
    <xf numFmtId="0" fontId="7" fillId="0" borderId="64" xfId="2" applyFont="1" applyBorder="1"/>
    <xf numFmtId="3" fontId="7" fillId="0" borderId="63" xfId="2" applyNumberFormat="1" applyFont="1" applyBorder="1"/>
    <xf numFmtId="3" fontId="7" fillId="0" borderId="64" xfId="2" applyNumberFormat="1" applyFont="1" applyBorder="1"/>
    <xf numFmtId="3" fontId="6" fillId="8" borderId="65" xfId="2" applyNumberFormat="1" applyFont="1" applyFill="1" applyBorder="1"/>
    <xf numFmtId="3" fontId="7" fillId="0" borderId="65" xfId="2" applyNumberFormat="1" applyFont="1" applyBorder="1"/>
    <xf numFmtId="0" fontId="7" fillId="0" borderId="22" xfId="2" applyFont="1" applyBorder="1"/>
    <xf numFmtId="0" fontId="6" fillId="0" borderId="22" xfId="2" applyFont="1" applyBorder="1"/>
    <xf numFmtId="0" fontId="2" fillId="8" borderId="65" xfId="0" applyFont="1" applyFill="1" applyBorder="1"/>
    <xf numFmtId="0" fontId="0" fillId="0" borderId="65" xfId="0" applyBorder="1"/>
    <xf numFmtId="3" fontId="0" fillId="0" borderId="63" xfId="0" applyNumberFormat="1" applyBorder="1"/>
    <xf numFmtId="3" fontId="0" fillId="0" borderId="64" xfId="0" applyNumberFormat="1" applyBorder="1"/>
    <xf numFmtId="3" fontId="2" fillId="8" borderId="65" xfId="0" applyNumberFormat="1" applyFont="1" applyFill="1" applyBorder="1"/>
    <xf numFmtId="3" fontId="0" fillId="0" borderId="65" xfId="0" applyNumberFormat="1" applyBorder="1"/>
    <xf numFmtId="3" fontId="1" fillId="8" borderId="6" xfId="0" applyNumberFormat="1" applyFont="1" applyFill="1" applyBorder="1" applyAlignment="1">
      <alignment horizontal="center"/>
    </xf>
    <xf numFmtId="169" fontId="1" fillId="8" borderId="7" xfId="0" applyNumberFormat="1" applyFont="1" applyFill="1" applyBorder="1" applyAlignment="1">
      <alignment horizontal="center"/>
    </xf>
    <xf numFmtId="3" fontId="2" fillId="0" borderId="16" xfId="0" applyNumberFormat="1" applyFont="1" applyBorder="1"/>
    <xf numFmtId="3" fontId="2" fillId="11" borderId="15" xfId="0" applyNumberFormat="1" applyFont="1" applyFill="1" applyBorder="1"/>
    <xf numFmtId="3" fontId="2" fillId="11" borderId="17" xfId="0" applyNumberFormat="1" applyFont="1" applyFill="1" applyBorder="1"/>
    <xf numFmtId="0" fontId="1" fillId="0" borderId="53" xfId="0" applyFont="1" applyBorder="1"/>
    <xf numFmtId="0" fontId="0" fillId="0" borderId="53" xfId="0" applyBorder="1"/>
    <xf numFmtId="0" fontId="6" fillId="2" borderId="69" xfId="3" applyFont="1" applyFill="1" applyBorder="1" applyAlignment="1">
      <alignment horizontal="center" vertical="center" wrapText="1"/>
    </xf>
    <xf numFmtId="3" fontId="0" fillId="0" borderId="70" xfId="0" applyNumberFormat="1" applyBorder="1"/>
    <xf numFmtId="3" fontId="2" fillId="0" borderId="71" xfId="0" applyNumberFormat="1" applyFont="1" applyBorder="1"/>
    <xf numFmtId="0" fontId="6" fillId="2" borderId="72" xfId="3" applyFont="1" applyFill="1" applyBorder="1" applyAlignment="1">
      <alignment horizontal="center" vertical="center" wrapText="1"/>
    </xf>
    <xf numFmtId="3" fontId="0" fillId="0" borderId="73" xfId="0" applyNumberFormat="1" applyBorder="1"/>
    <xf numFmtId="3" fontId="2" fillId="0" borderId="74" xfId="0" applyNumberFormat="1" applyFont="1" applyBorder="1"/>
    <xf numFmtId="3" fontId="2" fillId="2" borderId="26" xfId="0" applyNumberFormat="1" applyFont="1" applyFill="1" applyBorder="1" applyAlignment="1">
      <alignment horizontal="center" vertical="center"/>
    </xf>
    <xf numFmtId="0" fontId="6" fillId="2" borderId="78" xfId="2" applyFont="1" applyFill="1" applyBorder="1" applyAlignment="1">
      <alignment horizontal="center" vertical="center" wrapText="1"/>
    </xf>
    <xf numFmtId="3" fontId="1" fillId="0" borderId="67" xfId="0" applyNumberFormat="1" applyFont="1" applyBorder="1"/>
    <xf numFmtId="3" fontId="1" fillId="0" borderId="44" xfId="0" applyNumberFormat="1" applyFont="1" applyBorder="1"/>
    <xf numFmtId="3" fontId="0" fillId="0" borderId="57" xfId="3" applyNumberFormat="1" applyFont="1" applyBorder="1" applyAlignment="1">
      <alignment horizontal="right" vertical="center"/>
    </xf>
    <xf numFmtId="3" fontId="7" fillId="0" borderId="57" xfId="3" applyNumberFormat="1" applyFont="1" applyBorder="1" applyAlignment="1">
      <alignment horizontal="right" vertical="center"/>
    </xf>
    <xf numFmtId="3" fontId="0" fillId="0" borderId="80" xfId="3" applyNumberFormat="1" applyFont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0" fillId="0" borderId="2" xfId="3" applyNumberFormat="1" applyFont="1" applyBorder="1" applyAlignment="1">
      <alignment horizontal="right" vertical="center"/>
    </xf>
    <xf numFmtId="3" fontId="7" fillId="0" borderId="2" xfId="3" applyNumberFormat="1" applyFont="1" applyBorder="1" applyAlignment="1">
      <alignment horizontal="right" vertical="center"/>
    </xf>
    <xf numFmtId="3" fontId="0" fillId="0" borderId="68" xfId="3" applyNumberFormat="1" applyFont="1" applyBorder="1" applyAlignment="1">
      <alignment horizontal="right" vertical="center"/>
    </xf>
    <xf numFmtId="3" fontId="7" fillId="0" borderId="79" xfId="3" applyNumberFormat="1" applyFont="1" applyBorder="1" applyAlignment="1">
      <alignment horizontal="right" vertical="center"/>
    </xf>
    <xf numFmtId="3" fontId="2" fillId="2" borderId="8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3" fontId="2" fillId="0" borderId="14" xfId="0" applyNumberFormat="1" applyFont="1" applyBorder="1"/>
    <xf numFmtId="0" fontId="6" fillId="0" borderId="84" xfId="3" applyFont="1" applyBorder="1" applyAlignment="1">
      <alignment horizontal="center" vertical="center" wrapText="1"/>
    </xf>
    <xf numFmtId="0" fontId="7" fillId="0" borderId="84" xfId="3" applyFont="1" applyBorder="1" applyAlignment="1">
      <alignment horizontal="left" vertical="center" indent="1"/>
    </xf>
    <xf numFmtId="0" fontId="1" fillId="0" borderId="84" xfId="3" applyFont="1" applyBorder="1" applyAlignment="1">
      <alignment horizontal="left" vertical="center" indent="1"/>
    </xf>
    <xf numFmtId="0" fontId="6" fillId="0" borderId="84" xfId="2" applyFont="1" applyBorder="1" applyAlignment="1">
      <alignment horizontal="left" vertical="center" indent="1"/>
    </xf>
    <xf numFmtId="0" fontId="6" fillId="0" borderId="4" xfId="3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10" fontId="1" fillId="0" borderId="14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21" xfId="0" applyNumberFormat="1" applyFont="1" applyBorder="1" applyAlignment="1">
      <alignment horizontal="right"/>
    </xf>
    <xf numFmtId="0" fontId="6" fillId="2" borderId="9" xfId="2" applyFont="1" applyFill="1" applyBorder="1" applyAlignment="1">
      <alignment horizontal="left" vertical="center" indent="1"/>
    </xf>
    <xf numFmtId="10" fontId="0" fillId="0" borderId="2" xfId="3" applyNumberFormat="1" applyFont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82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10" fontId="0" fillId="0" borderId="18" xfId="3" applyNumberFormat="1" applyFont="1" applyBorder="1" applyAlignment="1">
      <alignment horizontal="right" vertical="center"/>
    </xf>
    <xf numFmtId="10" fontId="0" fillId="0" borderId="19" xfId="3" applyNumberFormat="1" applyFont="1" applyBorder="1" applyAlignment="1">
      <alignment horizontal="right" vertical="center"/>
    </xf>
    <xf numFmtId="10" fontId="0" fillId="0" borderId="16" xfId="3" applyNumberFormat="1" applyFont="1" applyBorder="1" applyAlignment="1">
      <alignment horizontal="right" vertical="center"/>
    </xf>
    <xf numFmtId="10" fontId="0" fillId="0" borderId="21" xfId="3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3" fontId="2" fillId="2" borderId="18" xfId="0" applyNumberFormat="1" applyFont="1" applyFill="1" applyBorder="1" applyAlignment="1">
      <alignment horizontal="center" vertical="center" wrapText="1"/>
    </xf>
    <xf numFmtId="10" fontId="1" fillId="0" borderId="15" xfId="0" applyNumberFormat="1" applyFont="1" applyBorder="1"/>
    <xf numFmtId="10" fontId="1" fillId="10" borderId="16" xfId="0" applyNumberFormat="1" applyFont="1" applyFill="1" applyBorder="1"/>
    <xf numFmtId="10" fontId="1" fillId="10" borderId="21" xfId="0" applyNumberFormat="1" applyFont="1" applyFill="1" applyBorder="1"/>
    <xf numFmtId="10" fontId="1" fillId="10" borderId="17" xfId="0" applyNumberFormat="1" applyFont="1" applyFill="1" applyBorder="1"/>
    <xf numFmtId="3" fontId="0" fillId="3" borderId="15" xfId="3" applyNumberFormat="1" applyFont="1" applyFill="1" applyBorder="1" applyAlignment="1">
      <alignment horizontal="right" vertical="center"/>
    </xf>
    <xf numFmtId="3" fontId="0" fillId="3" borderId="31" xfId="3" applyNumberFormat="1" applyFont="1" applyFill="1" applyBorder="1" applyAlignment="1">
      <alignment horizontal="right" vertical="center"/>
    </xf>
    <xf numFmtId="10" fontId="0" fillId="3" borderId="20" xfId="3" applyNumberFormat="1" applyFont="1" applyFill="1" applyBorder="1" applyAlignment="1">
      <alignment horizontal="right" vertical="center"/>
    </xf>
    <xf numFmtId="10" fontId="0" fillId="3" borderId="15" xfId="3" applyNumberFormat="1" applyFont="1" applyFill="1" applyBorder="1" applyAlignment="1">
      <alignment horizontal="right" vertical="center"/>
    </xf>
    <xf numFmtId="10" fontId="0" fillId="3" borderId="17" xfId="3" applyNumberFormat="1" applyFont="1" applyFill="1" applyBorder="1" applyAlignment="1">
      <alignment horizontal="right" vertical="center"/>
    </xf>
    <xf numFmtId="3" fontId="7" fillId="3" borderId="58" xfId="3" applyNumberFormat="1" applyFont="1" applyFill="1" applyBorder="1" applyAlignment="1">
      <alignment horizontal="right" vertical="center" indent="1"/>
    </xf>
    <xf numFmtId="3" fontId="7" fillId="3" borderId="59" xfId="3" applyNumberFormat="1" applyFont="1" applyFill="1" applyBorder="1" applyAlignment="1">
      <alignment horizontal="right" vertical="center" indent="1"/>
    </xf>
    <xf numFmtId="10" fontId="1" fillId="3" borderId="15" xfId="0" applyNumberFormat="1" applyFont="1" applyFill="1" applyBorder="1" applyAlignment="1">
      <alignment horizontal="right"/>
    </xf>
    <xf numFmtId="10" fontId="1" fillId="3" borderId="17" xfId="0" applyNumberFormat="1" applyFont="1" applyFill="1" applyBorder="1" applyAlignment="1">
      <alignment horizontal="right"/>
    </xf>
    <xf numFmtId="10" fontId="1" fillId="3" borderId="15" xfId="0" applyNumberFormat="1" applyFont="1" applyFill="1" applyBorder="1"/>
    <xf numFmtId="0" fontId="2" fillId="10" borderId="3" xfId="0" applyFont="1" applyFill="1" applyBorder="1" applyAlignment="1">
      <alignment vertical="center"/>
    </xf>
    <xf numFmtId="0" fontId="2" fillId="10" borderId="4" xfId="0" applyFont="1" applyFill="1" applyBorder="1"/>
    <xf numFmtId="0" fontId="2" fillId="0" borderId="22" xfId="0" applyFont="1" applyBorder="1" applyAlignment="1">
      <alignment vertical="center"/>
    </xf>
    <xf numFmtId="10" fontId="0" fillId="10" borderId="16" xfId="3" applyNumberFormat="1" applyFont="1" applyFill="1" applyBorder="1" applyAlignment="1">
      <alignment horizontal="right" vertical="center"/>
    </xf>
    <xf numFmtId="10" fontId="0" fillId="10" borderId="21" xfId="3" applyNumberFormat="1" applyFont="1" applyFill="1" applyBorder="1" applyAlignment="1">
      <alignment horizontal="right" vertical="center"/>
    </xf>
    <xf numFmtId="10" fontId="0" fillId="10" borderId="17" xfId="3" applyNumberFormat="1" applyFont="1" applyFill="1" applyBorder="1" applyAlignment="1">
      <alignment horizontal="right" vertical="center"/>
    </xf>
    <xf numFmtId="10" fontId="1" fillId="2" borderId="5" xfId="0" applyNumberFormat="1" applyFont="1" applyFill="1" applyBorder="1" applyAlignment="1">
      <alignment horizontal="right"/>
    </xf>
    <xf numFmtId="10" fontId="1" fillId="2" borderId="6" xfId="0" applyNumberFormat="1" applyFont="1" applyFill="1" applyBorder="1" applyAlignment="1">
      <alignment horizontal="right"/>
    </xf>
    <xf numFmtId="10" fontId="1" fillId="2" borderId="7" xfId="0" applyNumberFormat="1" applyFont="1" applyFill="1" applyBorder="1" applyAlignment="1">
      <alignment horizontal="right"/>
    </xf>
    <xf numFmtId="10" fontId="0" fillId="2" borderId="5" xfId="3" applyNumberFormat="1" applyFont="1" applyFill="1" applyBorder="1" applyAlignment="1">
      <alignment horizontal="right" vertical="center"/>
    </xf>
    <xf numFmtId="10" fontId="0" fillId="2" borderId="6" xfId="3" applyNumberFormat="1" applyFont="1" applyFill="1" applyBorder="1" applyAlignment="1">
      <alignment horizontal="right" vertical="center"/>
    </xf>
    <xf numFmtId="10" fontId="0" fillId="2" borderId="7" xfId="3" applyNumberFormat="1" applyFont="1" applyFill="1" applyBorder="1" applyAlignment="1">
      <alignment horizontal="right" vertical="center"/>
    </xf>
    <xf numFmtId="10" fontId="1" fillId="2" borderId="16" xfId="0" applyNumberFormat="1" applyFont="1" applyFill="1" applyBorder="1"/>
    <xf numFmtId="10" fontId="1" fillId="2" borderId="21" xfId="0" applyNumberFormat="1" applyFont="1" applyFill="1" applyBorder="1"/>
    <xf numFmtId="10" fontId="1" fillId="2" borderId="17" xfId="0" applyNumberFormat="1" applyFont="1" applyFill="1" applyBorder="1"/>
    <xf numFmtId="10" fontId="7" fillId="0" borderId="28" xfId="3" applyNumberFormat="1" applyFont="1" applyBorder="1" applyAlignment="1">
      <alignment horizontal="right" vertical="center"/>
    </xf>
    <xf numFmtId="10" fontId="7" fillId="0" borderId="79" xfId="3" applyNumberFormat="1" applyFont="1" applyBorder="1" applyAlignment="1">
      <alignment horizontal="right" vertical="center"/>
    </xf>
    <xf numFmtId="10" fontId="7" fillId="0" borderId="28" xfId="3" applyNumberFormat="1" applyFont="1" applyBorder="1" applyAlignment="1">
      <alignment horizontal="left" vertical="center"/>
    </xf>
    <xf numFmtId="0" fontId="0" fillId="0" borderId="14" xfId="3" applyFont="1" applyBorder="1" applyAlignment="1">
      <alignment horizontal="left" vertical="center" indent="1"/>
    </xf>
    <xf numFmtId="0" fontId="0" fillId="0" borderId="25" xfId="3" applyFont="1" applyBorder="1" applyAlignment="1">
      <alignment horizontal="left" vertical="center" indent="1"/>
    </xf>
    <xf numFmtId="0" fontId="0" fillId="0" borderId="4" xfId="3" applyFont="1" applyBorder="1" applyAlignment="1">
      <alignment horizontal="left" vertical="center" indent="1"/>
    </xf>
    <xf numFmtId="3" fontId="0" fillId="0" borderId="85" xfId="0" applyNumberForma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3" fontId="0" fillId="0" borderId="87" xfId="0" applyNumberFormat="1" applyBorder="1" applyAlignment="1">
      <alignment horizontal="center"/>
    </xf>
    <xf numFmtId="3" fontId="0" fillId="0" borderId="88" xfId="0" applyNumberFormat="1" applyBorder="1" applyAlignment="1">
      <alignment horizontal="center"/>
    </xf>
    <xf numFmtId="3" fontId="2" fillId="8" borderId="5" xfId="0" applyNumberFormat="1" applyFont="1" applyFill="1" applyBorder="1" applyAlignment="1">
      <alignment horizontal="center"/>
    </xf>
    <xf numFmtId="3" fontId="2" fillId="8" borderId="7" xfId="0" applyNumberFormat="1" applyFont="1" applyFill="1" applyBorder="1" applyAlignment="1">
      <alignment horizontal="center"/>
    </xf>
    <xf numFmtId="0" fontId="0" fillId="0" borderId="4" xfId="3" applyFont="1" applyBorder="1" applyAlignment="1">
      <alignment horizontal="left" vertical="center"/>
    </xf>
    <xf numFmtId="0" fontId="2" fillId="8" borderId="9" xfId="0" applyFont="1" applyFill="1" applyBorder="1"/>
    <xf numFmtId="10" fontId="2" fillId="8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3" fontId="7" fillId="0" borderId="2" xfId="0" applyNumberFormat="1" applyFont="1" applyBorder="1" applyAlignment="1">
      <alignment horizontal="right"/>
    </xf>
    <xf numFmtId="10" fontId="1" fillId="0" borderId="15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10" fontId="2" fillId="0" borderId="17" xfId="0" applyNumberFormat="1" applyFont="1" applyBorder="1" applyAlignment="1">
      <alignment horizontal="right"/>
    </xf>
    <xf numFmtId="0" fontId="0" fillId="0" borderId="1" xfId="3" applyFont="1" applyBorder="1" applyAlignment="1">
      <alignment horizontal="left" vertical="center" indent="1"/>
    </xf>
    <xf numFmtId="3" fontId="6" fillId="0" borderId="68" xfId="0" applyNumberFormat="1" applyFont="1" applyBorder="1" applyAlignment="1">
      <alignment horizontal="right"/>
    </xf>
    <xf numFmtId="10" fontId="2" fillId="0" borderId="31" xfId="0" applyNumberFormat="1" applyFont="1" applyBorder="1" applyAlignment="1">
      <alignment horizontal="right"/>
    </xf>
    <xf numFmtId="3" fontId="7" fillId="0" borderId="89" xfId="0" applyNumberFormat="1" applyFont="1" applyBorder="1" applyAlignment="1">
      <alignment horizontal="right"/>
    </xf>
    <xf numFmtId="10" fontId="1" fillId="0" borderId="90" xfId="0" applyNumberFormat="1" applyFont="1" applyBorder="1" applyAlignment="1">
      <alignment horizontal="right"/>
    </xf>
    <xf numFmtId="3" fontId="2" fillId="0" borderId="92" xfId="0" applyNumberFormat="1" applyFont="1" applyBorder="1"/>
    <xf numFmtId="10" fontId="2" fillId="0" borderId="91" xfId="0" applyNumberFormat="1" applyFont="1" applyBorder="1" applyAlignment="1">
      <alignment horizontal="right"/>
    </xf>
    <xf numFmtId="0" fontId="1" fillId="0" borderId="93" xfId="0" applyFont="1" applyBorder="1"/>
    <xf numFmtId="0" fontId="1" fillId="0" borderId="94" xfId="0" applyFont="1" applyBorder="1"/>
    <xf numFmtId="0" fontId="2" fillId="8" borderId="26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10" fontId="0" fillId="0" borderId="95" xfId="0" applyNumberFormat="1" applyBorder="1" applyAlignment="1">
      <alignment horizontal="center"/>
    </xf>
    <xf numFmtId="3" fontId="0" fillId="0" borderId="90" xfId="0" applyNumberFormat="1" applyBorder="1" applyAlignment="1">
      <alignment horizontal="center"/>
    </xf>
    <xf numFmtId="10" fontId="0" fillId="0" borderId="96" xfId="0" applyNumberFormat="1" applyBorder="1" applyAlignment="1">
      <alignment horizontal="center"/>
    </xf>
    <xf numFmtId="3" fontId="0" fillId="0" borderId="91" xfId="0" applyNumberFormat="1" applyBorder="1" applyAlignment="1">
      <alignment horizontal="center"/>
    </xf>
    <xf numFmtId="0" fontId="2" fillId="8" borderId="19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6" fillId="8" borderId="19" xfId="3" applyFont="1" applyFill="1" applyBorder="1" applyAlignment="1">
      <alignment horizontal="center" vertical="center" wrapText="1"/>
    </xf>
    <xf numFmtId="3" fontId="9" fillId="12" borderId="9" xfId="2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0" borderId="57" xfId="3" applyFont="1" applyBorder="1" applyAlignment="1">
      <alignment horizontal="left" vertical="center"/>
    </xf>
    <xf numFmtId="0" fontId="7" fillId="0" borderId="66" xfId="3" applyFont="1" applyBorder="1" applyAlignment="1">
      <alignment horizontal="left" vertical="center"/>
    </xf>
    <xf numFmtId="0" fontId="7" fillId="0" borderId="45" xfId="3" applyFont="1" applyBorder="1" applyAlignment="1">
      <alignment horizontal="left" vertical="center"/>
    </xf>
    <xf numFmtId="0" fontId="0" fillId="0" borderId="57" xfId="3" applyFont="1" applyBorder="1" applyAlignment="1">
      <alignment horizontal="left" vertical="center"/>
    </xf>
    <xf numFmtId="0" fontId="0" fillId="0" borderId="66" xfId="3" applyFont="1" applyBorder="1" applyAlignment="1">
      <alignment horizontal="left" vertical="center"/>
    </xf>
    <xf numFmtId="0" fontId="0" fillId="0" borderId="45" xfId="3" applyFont="1" applyBorder="1" applyAlignment="1">
      <alignment horizontal="left" vertical="center"/>
    </xf>
    <xf numFmtId="0" fontId="0" fillId="0" borderId="25" xfId="3" applyFont="1" applyBorder="1" applyAlignment="1">
      <alignment horizontal="left" vertical="center"/>
    </xf>
    <xf numFmtId="0" fontId="0" fillId="0" borderId="59" xfId="3" applyFont="1" applyBorder="1" applyAlignment="1">
      <alignment horizontal="left" vertical="center"/>
    </xf>
    <xf numFmtId="0" fontId="0" fillId="0" borderId="46" xfId="3" applyFont="1" applyBorder="1" applyAlignment="1">
      <alignment horizontal="left" vertical="center"/>
    </xf>
    <xf numFmtId="0" fontId="2" fillId="2" borderId="61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77" xfId="0" applyFont="1" applyFill="1" applyBorder="1" applyAlignment="1">
      <alignment horizontal="left"/>
    </xf>
    <xf numFmtId="0" fontId="2" fillId="2" borderId="82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 vertical="center"/>
    </xf>
    <xf numFmtId="0" fontId="6" fillId="2" borderId="46" xfId="2" applyFont="1" applyFill="1" applyBorder="1" applyAlignment="1">
      <alignment horizontal="center" vertical="center"/>
    </xf>
    <xf numFmtId="3" fontId="0" fillId="0" borderId="47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2" fillId="8" borderId="49" xfId="0" applyNumberFormat="1" applyFont="1" applyFill="1" applyBorder="1" applyAlignment="1">
      <alignment horizontal="center"/>
    </xf>
    <xf numFmtId="3" fontId="2" fillId="8" borderId="42" xfId="0" applyNumberFormat="1" applyFont="1" applyFill="1" applyBorder="1" applyAlignment="1">
      <alignment horizontal="center"/>
    </xf>
    <xf numFmtId="3" fontId="2" fillId="8" borderId="50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7" fillId="0" borderId="53" xfId="0" applyNumberFormat="1" applyFont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8" borderId="56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19" xfId="3" applyFont="1" applyFill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61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0" fontId="6" fillId="2" borderId="76" xfId="3" applyFont="1" applyFill="1" applyBorder="1" applyAlignment="1">
      <alignment horizontal="center" vertical="center" wrapText="1"/>
    </xf>
    <xf numFmtId="0" fontId="6" fillId="2" borderId="77" xfId="3" applyFont="1" applyFill="1" applyBorder="1" applyAlignment="1">
      <alignment horizontal="center" vertical="center" wrapText="1"/>
    </xf>
    <xf numFmtId="0" fontId="6" fillId="2" borderId="18" xfId="3" applyFont="1" applyFill="1" applyBorder="1" applyAlignment="1">
      <alignment horizontal="center" vertical="center" wrapText="1"/>
    </xf>
  </cellXfs>
  <cellStyles count="9">
    <cellStyle name="Normální" xfId="0" builtinId="0"/>
    <cellStyle name="Normální 10" xfId="5" xr:uid="{00000000-0005-0000-0000-000001000000}"/>
    <cellStyle name="Normální 18" xfId="7" xr:uid="{00000000-0005-0000-0000-000002000000}"/>
    <cellStyle name="Normální 2" xfId="2" xr:uid="{00000000-0005-0000-0000-000003000000}"/>
    <cellStyle name="normální 2 5" xfId="3" xr:uid="{00000000-0005-0000-0000-000004000000}"/>
    <cellStyle name="Normální 3 3" xfId="8" xr:uid="{00000000-0005-0000-0000-000005000000}"/>
    <cellStyle name="procent 2" xfId="6" xr:uid="{00000000-0005-0000-0000-000006000000}"/>
    <cellStyle name="Procenta" xfId="1" builtinId="5"/>
    <cellStyle name="Procenta 3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Vývoj "A+K"</a:t>
            </a:r>
          </a:p>
        </c:rich>
      </c:tx>
      <c:overlay val="0"/>
      <c:spPr>
        <a:noFill/>
        <a:ln w="190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488586351478185"/>
          <c:y val="9.2144522144522151E-2"/>
          <c:w val="0.79889112530609918"/>
          <c:h val="0.767624082254100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 A+K 2023'!$D$21</c:f>
              <c:strCache>
                <c:ptCount val="1"/>
                <c:pt idx="0">
                  <c:v>Příspěvek A+K 2022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'1.3 A+K 2023'!$B$22:$B$29</c:f>
              <c:strCache>
                <c:ptCount val="8"/>
                <c:pt idx="0">
                  <c:v>EF</c:v>
                </c:pt>
                <c:pt idx="1">
                  <c:v>FF</c:v>
                </c:pt>
                <c:pt idx="2">
                  <c:v>FROV</c:v>
                </c:pt>
                <c:pt idx="3">
                  <c:v>PF</c:v>
                </c:pt>
                <c:pt idx="4">
                  <c:v>PŘF</c:v>
                </c:pt>
                <c:pt idx="5">
                  <c:v>TF</c:v>
                </c:pt>
                <c:pt idx="6">
                  <c:v>ZSF</c:v>
                </c:pt>
                <c:pt idx="7">
                  <c:v>FZT</c:v>
                </c:pt>
              </c:strCache>
            </c:strRef>
          </c:cat>
          <c:val>
            <c:numRef>
              <c:f>'1.3 A+K 2023'!$D$22:$D$29</c:f>
              <c:numCache>
                <c:formatCode>#,##0</c:formatCode>
                <c:ptCount val="8"/>
                <c:pt idx="0">
                  <c:v>67960708.48125276</c:v>
                </c:pt>
                <c:pt idx="1">
                  <c:v>44477805.210256457</c:v>
                </c:pt>
                <c:pt idx="2">
                  <c:v>38618308.776337199</c:v>
                </c:pt>
                <c:pt idx="3">
                  <c:v>124159119.92852998</c:v>
                </c:pt>
                <c:pt idx="4">
                  <c:v>115513857.97601795</c:v>
                </c:pt>
                <c:pt idx="5">
                  <c:v>34246733.562966913</c:v>
                </c:pt>
                <c:pt idx="6">
                  <c:v>125228963.15772466</c:v>
                </c:pt>
                <c:pt idx="7">
                  <c:v>86112667.206913978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5-4F81-A5DC-DB72CF9C2A50}"/>
            </c:ext>
          </c:extLst>
        </c:ser>
        <c:ser>
          <c:idx val="1"/>
          <c:order val="1"/>
          <c:tx>
            <c:strRef>
              <c:f>'1.3 A+K 2023'!$E$21</c:f>
              <c:strCache>
                <c:ptCount val="1"/>
                <c:pt idx="0">
                  <c:v>příspěvek A+K 2023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'1.3 A+K 2023'!$B$22:$B$29</c:f>
              <c:strCache>
                <c:ptCount val="8"/>
                <c:pt idx="0">
                  <c:v>EF</c:v>
                </c:pt>
                <c:pt idx="1">
                  <c:v>FF</c:v>
                </c:pt>
                <c:pt idx="2">
                  <c:v>FROV</c:v>
                </c:pt>
                <c:pt idx="3">
                  <c:v>PF</c:v>
                </c:pt>
                <c:pt idx="4">
                  <c:v>PŘF</c:v>
                </c:pt>
                <c:pt idx="5">
                  <c:v>TF</c:v>
                </c:pt>
                <c:pt idx="6">
                  <c:v>ZSF</c:v>
                </c:pt>
                <c:pt idx="7">
                  <c:v>FZT</c:v>
                </c:pt>
              </c:strCache>
            </c:strRef>
          </c:cat>
          <c:val>
            <c:numRef>
              <c:f>'1.3 A+K 2023'!$E$22:$E$29</c:f>
              <c:numCache>
                <c:formatCode>#,##0</c:formatCode>
                <c:ptCount val="8"/>
                <c:pt idx="0">
                  <c:v>67690043.896411315</c:v>
                </c:pt>
                <c:pt idx="1">
                  <c:v>46156695.80406712</c:v>
                </c:pt>
                <c:pt idx="2">
                  <c:v>40615386.577564642</c:v>
                </c:pt>
                <c:pt idx="3">
                  <c:v>124360113.47519515</c:v>
                </c:pt>
                <c:pt idx="4">
                  <c:v>121370963.32134417</c:v>
                </c:pt>
                <c:pt idx="5">
                  <c:v>34955854.936523601</c:v>
                </c:pt>
                <c:pt idx="6">
                  <c:v>126114194.75166577</c:v>
                </c:pt>
                <c:pt idx="7">
                  <c:v>88103774.287228197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5-4F81-A5DC-DB72CF9C2A50}"/>
            </c:ext>
          </c:extLst>
        </c:ser>
        <c:ser>
          <c:idx val="2"/>
          <c:order val="2"/>
          <c:tx>
            <c:strRef>
              <c:f>'1.3 A+K 2023'!$F$21</c:f>
              <c:strCache>
                <c:ptCount val="1"/>
                <c:pt idx="0">
                  <c:v>příspěvek A+K 2024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 A+K 2023'!$B$22:$B$29</c:f>
              <c:strCache>
                <c:ptCount val="8"/>
                <c:pt idx="0">
                  <c:v>EF</c:v>
                </c:pt>
                <c:pt idx="1">
                  <c:v>FF</c:v>
                </c:pt>
                <c:pt idx="2">
                  <c:v>FROV</c:v>
                </c:pt>
                <c:pt idx="3">
                  <c:v>PF</c:v>
                </c:pt>
                <c:pt idx="4">
                  <c:v>PŘF</c:v>
                </c:pt>
                <c:pt idx="5">
                  <c:v>TF</c:v>
                </c:pt>
                <c:pt idx="6">
                  <c:v>ZSF</c:v>
                </c:pt>
                <c:pt idx="7">
                  <c:v>FZT</c:v>
                </c:pt>
              </c:strCache>
            </c:strRef>
          </c:cat>
          <c:val>
            <c:numRef>
              <c:f>'1.3 A+K 2023'!$F$22:$F$29</c:f>
              <c:numCache>
                <c:formatCode>#,##0</c:formatCode>
                <c:ptCount val="8"/>
                <c:pt idx="0">
                  <c:v>68372995.838087872</c:v>
                </c:pt>
                <c:pt idx="1">
                  <c:v>48651067.362843469</c:v>
                </c:pt>
                <c:pt idx="2">
                  <c:v>42602169.427871667</c:v>
                </c:pt>
                <c:pt idx="3">
                  <c:v>127219097.777766</c:v>
                </c:pt>
                <c:pt idx="4">
                  <c:v>126686124.04934059</c:v>
                </c:pt>
                <c:pt idx="5">
                  <c:v>36064679.096759886</c:v>
                </c:pt>
                <c:pt idx="6">
                  <c:v>129526722.75824735</c:v>
                </c:pt>
                <c:pt idx="7">
                  <c:v>92170656.189083114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5-4F81-A5DC-DB72CF9C2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10915296"/>
        <c:axId val="410916080"/>
      </c:barChart>
      <c:catAx>
        <c:axId val="410915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916080"/>
        <c:crosses val="autoZero"/>
        <c:auto val="1"/>
        <c:lblAlgn val="ctr"/>
        <c:lblOffset val="100"/>
        <c:noMultiLvlLbl val="0"/>
      </c:catAx>
      <c:valAx>
        <c:axId val="41091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9152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5989441998259246"/>
          <c:y val="0.91977987730326671"/>
          <c:w val="0.68486048812453615"/>
          <c:h val="5.037090589787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2"/>
    </a:solidFill>
    <a:ln w="19050" cap="flat" cmpd="sng" algn="ctr">
      <a:solidFill>
        <a:sysClr val="windowText" lastClr="000000"/>
      </a:solidFill>
      <a:round/>
    </a:ln>
    <a:effectLst>
      <a:innerShdw blurRad="63500" dist="50800" dir="18900000">
        <a:prstClr val="black">
          <a:alpha val="50000"/>
        </a:prstClr>
      </a:innerShdw>
    </a:effectLst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RVO - 2022 -</a:t>
            </a:r>
            <a:r>
              <a:rPr lang="cs-CZ" b="1" baseline="0">
                <a:solidFill>
                  <a:sysClr val="windowText" lastClr="000000"/>
                </a:solidFill>
              </a:rPr>
              <a:t> </a:t>
            </a:r>
            <a:r>
              <a:rPr lang="cs-CZ" b="1">
                <a:solidFill>
                  <a:sysClr val="windowText" lastClr="000000"/>
                </a:solidFill>
              </a:rPr>
              <a:t>2024</a:t>
            </a:r>
          </a:p>
        </c:rich>
      </c:tx>
      <c:layout>
        <c:manualLayout>
          <c:xMode val="edge"/>
          <c:yMode val="edge"/>
          <c:x val="0.35459641542237674"/>
          <c:y val="1.8957345971563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502973396309384"/>
          <c:y val="0.12489731437598736"/>
          <c:w val="0.82166087526478992"/>
          <c:h val="0.713686109141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Dotace na RVO'!$C$44</c:f>
              <c:strCache>
                <c:ptCount val="1"/>
                <c:pt idx="0">
                  <c:v>dotace RVO 2022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 Dotace na RVO'!$B$45:$B$52</c:f>
              <c:strCache>
                <c:ptCount val="8"/>
                <c:pt idx="0">
                  <c:v>EF</c:v>
                </c:pt>
                <c:pt idx="1">
                  <c:v>FF</c:v>
                </c:pt>
                <c:pt idx="2">
                  <c:v>FROV</c:v>
                </c:pt>
                <c:pt idx="3">
                  <c:v>PF</c:v>
                </c:pt>
                <c:pt idx="4">
                  <c:v>PŘF</c:v>
                </c:pt>
                <c:pt idx="5">
                  <c:v>TF</c:v>
                </c:pt>
                <c:pt idx="6">
                  <c:v>ZSF</c:v>
                </c:pt>
                <c:pt idx="7">
                  <c:v>ZF</c:v>
                </c:pt>
              </c:strCache>
            </c:strRef>
          </c:cat>
          <c:val>
            <c:numRef>
              <c:f>'2 Dotace na RVO'!$C$45:$C$52</c:f>
              <c:numCache>
                <c:formatCode>#,##0</c:formatCode>
                <c:ptCount val="8"/>
                <c:pt idx="0">
                  <c:v>10201944.466444373</c:v>
                </c:pt>
                <c:pt idx="1">
                  <c:v>25367871.083849274</c:v>
                </c:pt>
                <c:pt idx="2">
                  <c:v>85966962.708935067</c:v>
                </c:pt>
                <c:pt idx="3">
                  <c:v>13485384.738001203</c:v>
                </c:pt>
                <c:pt idx="4">
                  <c:v>121776657.10994163</c:v>
                </c:pt>
                <c:pt idx="5">
                  <c:v>16035037.872827096</c:v>
                </c:pt>
                <c:pt idx="6">
                  <c:v>7445749.8733471949</c:v>
                </c:pt>
                <c:pt idx="7">
                  <c:v>16803817.326654192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1-4FEC-8898-8EBB7F64A9ED}"/>
            </c:ext>
          </c:extLst>
        </c:ser>
        <c:ser>
          <c:idx val="1"/>
          <c:order val="1"/>
          <c:tx>
            <c:strRef>
              <c:f>'2 Dotace na RVO'!$D$44</c:f>
              <c:strCache>
                <c:ptCount val="1"/>
                <c:pt idx="0">
                  <c:v>dotace RVO 2023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 Dotace na RVO'!$B$45:$B$52</c:f>
              <c:strCache>
                <c:ptCount val="8"/>
                <c:pt idx="0">
                  <c:v>EF</c:v>
                </c:pt>
                <c:pt idx="1">
                  <c:v>FF</c:v>
                </c:pt>
                <c:pt idx="2">
                  <c:v>FROV</c:v>
                </c:pt>
                <c:pt idx="3">
                  <c:v>PF</c:v>
                </c:pt>
                <c:pt idx="4">
                  <c:v>PŘF</c:v>
                </c:pt>
                <c:pt idx="5">
                  <c:v>TF</c:v>
                </c:pt>
                <c:pt idx="6">
                  <c:v>ZSF</c:v>
                </c:pt>
                <c:pt idx="7">
                  <c:v>ZF</c:v>
                </c:pt>
              </c:strCache>
            </c:strRef>
          </c:cat>
          <c:val>
            <c:numRef>
              <c:f>'2 Dotace na RVO'!$D$45:$D$52</c:f>
              <c:numCache>
                <c:formatCode>#,##0</c:formatCode>
                <c:ptCount val="8"/>
                <c:pt idx="0">
                  <c:v>10025698.298408875</c:v>
                </c:pt>
                <c:pt idx="1">
                  <c:v>26148182.668093</c:v>
                </c:pt>
                <c:pt idx="2">
                  <c:v>86718740.402113229</c:v>
                </c:pt>
                <c:pt idx="3">
                  <c:v>13091605.048796186</c:v>
                </c:pt>
                <c:pt idx="4">
                  <c:v>120965027.71040697</c:v>
                </c:pt>
                <c:pt idx="5">
                  <c:v>16206367.634161552</c:v>
                </c:pt>
                <c:pt idx="6">
                  <c:v>7619402.7865626346</c:v>
                </c:pt>
                <c:pt idx="7">
                  <c:v>16308400.631457558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1-4FEC-8898-8EBB7F64A9ED}"/>
            </c:ext>
          </c:extLst>
        </c:ser>
        <c:ser>
          <c:idx val="2"/>
          <c:order val="2"/>
          <c:tx>
            <c:strRef>
              <c:f>'2 Dotace na RVO'!$E$44</c:f>
              <c:strCache>
                <c:ptCount val="1"/>
                <c:pt idx="0">
                  <c:v>dotace RVO 2024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Dotace na RVO'!$B$45:$B$52</c:f>
              <c:strCache>
                <c:ptCount val="8"/>
                <c:pt idx="0">
                  <c:v>EF</c:v>
                </c:pt>
                <c:pt idx="1">
                  <c:v>FF</c:v>
                </c:pt>
                <c:pt idx="2">
                  <c:v>FROV</c:v>
                </c:pt>
                <c:pt idx="3">
                  <c:v>PF</c:v>
                </c:pt>
                <c:pt idx="4">
                  <c:v>PŘF</c:v>
                </c:pt>
                <c:pt idx="5">
                  <c:v>TF</c:v>
                </c:pt>
                <c:pt idx="6">
                  <c:v>ZSF</c:v>
                </c:pt>
                <c:pt idx="7">
                  <c:v>ZF</c:v>
                </c:pt>
              </c:strCache>
            </c:strRef>
          </c:cat>
          <c:val>
            <c:numRef>
              <c:f>'2 Dotace na RVO'!$E$45:$E$52</c:f>
              <c:numCache>
                <c:formatCode>#,##0</c:formatCode>
                <c:ptCount val="8"/>
                <c:pt idx="0">
                  <c:v>9917929.7866556328</c:v>
                </c:pt>
                <c:pt idx="1">
                  <c:v>27103135.623241343</c:v>
                </c:pt>
                <c:pt idx="2">
                  <c:v>91464206.549459308</c:v>
                </c:pt>
                <c:pt idx="3">
                  <c:v>13609017.317076707</c:v>
                </c:pt>
                <c:pt idx="4">
                  <c:v>125929111.03054225</c:v>
                </c:pt>
                <c:pt idx="5">
                  <c:v>18315393.114035826</c:v>
                </c:pt>
                <c:pt idx="6">
                  <c:v>7490177.3205048172</c:v>
                </c:pt>
                <c:pt idx="7">
                  <c:v>16166233.338484159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1-4FEC-8898-8EBB7F64A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10916864"/>
        <c:axId val="410914120"/>
      </c:barChart>
      <c:catAx>
        <c:axId val="41091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914120"/>
        <c:crosses val="autoZero"/>
        <c:auto val="1"/>
        <c:lblAlgn val="ctr"/>
        <c:lblOffset val="100"/>
        <c:noMultiLvlLbl val="0"/>
      </c:catAx>
      <c:valAx>
        <c:axId val="41091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9168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4392242688717047"/>
          <c:y val="0.91508651465960134"/>
          <c:w val="0.51982886071344891"/>
          <c:h val="5.3317908721125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ysClr val="windowText" lastClr="000000"/>
      </a:solidFill>
      <a:round/>
    </a:ln>
    <a:effectLst>
      <a:innerShdw blurRad="63500" dist="50800" dir="18900000">
        <a:prstClr val="black">
          <a:alpha val="50000"/>
        </a:prstClr>
      </a:innerShdw>
    </a:effectLst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cs-CZ">
                <a:solidFill>
                  <a:sysClr val="windowText" lastClr="000000"/>
                </a:solidFill>
              </a:rPr>
              <a:t>Institucionální prostředky (A+K+"F"+RVO) - 2022-2024</a:t>
            </a:r>
          </a:p>
        </c:rich>
      </c:tx>
      <c:layout>
        <c:manualLayout>
          <c:xMode val="edge"/>
          <c:yMode val="edge"/>
          <c:x val="0.33876345871862862"/>
          <c:y val="1.9867542762148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315570444887272"/>
          <c:y val="0.1123809272241879"/>
          <c:w val="0.8546195025114246"/>
          <c:h val="0.75663577352030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Rekapituace'!$C$15</c:f>
              <c:strCache>
                <c:ptCount val="1"/>
                <c:pt idx="0">
                  <c:v>rok 2022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 Rekapituace'!$A$16:$A$23</c:f>
              <c:strCache>
                <c:ptCount val="8"/>
                <c:pt idx="0">
                  <c:v>Ekonomická fakulta</c:v>
                </c:pt>
                <c:pt idx="1">
                  <c:v>Filozofická fakulta</c:v>
                </c:pt>
                <c:pt idx="2">
                  <c:v>Fakulta rybářství a ochrany vod</c:v>
                </c:pt>
                <c:pt idx="3">
                  <c:v>Pedagogická fakulta</c:v>
                </c:pt>
                <c:pt idx="4">
                  <c:v>Přírodovědecká fakulta</c:v>
                </c:pt>
                <c:pt idx="5">
                  <c:v>Teologická fakulta</c:v>
                </c:pt>
                <c:pt idx="6">
                  <c:v>Zdravotně sociální fakulta</c:v>
                </c:pt>
                <c:pt idx="7">
                  <c:v>Fakulta zemědělská a technologická</c:v>
                </c:pt>
              </c:strCache>
            </c:strRef>
          </c:cat>
          <c:val>
            <c:numRef>
              <c:f>'3 Rekapituace'!$C$16:$C$23</c:f>
              <c:numCache>
                <c:formatCode>#,##0</c:formatCode>
                <c:ptCount val="8"/>
                <c:pt idx="0">
                  <c:v>78162652.947697133</c:v>
                </c:pt>
                <c:pt idx="1">
                  <c:v>69845676.294105738</c:v>
                </c:pt>
                <c:pt idx="2">
                  <c:v>124585271.48527226</c:v>
                </c:pt>
                <c:pt idx="3">
                  <c:v>137644504.66653118</c:v>
                </c:pt>
                <c:pt idx="4">
                  <c:v>237290515.08595958</c:v>
                </c:pt>
                <c:pt idx="5">
                  <c:v>50281771.435794011</c:v>
                </c:pt>
                <c:pt idx="6">
                  <c:v>132674713.03107186</c:v>
                </c:pt>
                <c:pt idx="7">
                  <c:v>102916484.53356817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3-4298-9782-5C1ECBB2985A}"/>
            </c:ext>
          </c:extLst>
        </c:ser>
        <c:ser>
          <c:idx val="1"/>
          <c:order val="1"/>
          <c:tx>
            <c:strRef>
              <c:f>'3 Rekapituace'!$D$15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 Rekapituace'!$A$16:$A$23</c:f>
              <c:strCache>
                <c:ptCount val="8"/>
                <c:pt idx="0">
                  <c:v>Ekonomická fakulta</c:v>
                </c:pt>
                <c:pt idx="1">
                  <c:v>Filozofická fakulta</c:v>
                </c:pt>
                <c:pt idx="2">
                  <c:v>Fakulta rybářství a ochrany vod</c:v>
                </c:pt>
                <c:pt idx="3">
                  <c:v>Pedagogická fakulta</c:v>
                </c:pt>
                <c:pt idx="4">
                  <c:v>Přírodovědecká fakulta</c:v>
                </c:pt>
                <c:pt idx="5">
                  <c:v>Teologická fakulta</c:v>
                </c:pt>
                <c:pt idx="6">
                  <c:v>Zdravotně sociální fakulta</c:v>
                </c:pt>
                <c:pt idx="7">
                  <c:v>Fakulta zemědělská a technologická</c:v>
                </c:pt>
              </c:strCache>
            </c:strRef>
          </c:cat>
          <c:val>
            <c:numRef>
              <c:f>'3 Rekapituace'!$D$16:$D$23</c:f>
              <c:numCache>
                <c:formatCode>#,##0</c:formatCode>
                <c:ptCount val="8"/>
                <c:pt idx="0">
                  <c:v>79016559.161650255</c:v>
                </c:pt>
                <c:pt idx="1">
                  <c:v>73171124.600658417</c:v>
                </c:pt>
                <c:pt idx="2">
                  <c:v>128088546.13559616</c:v>
                </c:pt>
                <c:pt idx="3">
                  <c:v>139823996.90552196</c:v>
                </c:pt>
                <c:pt idx="4">
                  <c:v>244595461.53235057</c:v>
                </c:pt>
                <c:pt idx="5">
                  <c:v>51824108.841017187</c:v>
                </c:pt>
                <c:pt idx="6">
                  <c:v>136137196.93744853</c:v>
                </c:pt>
                <c:pt idx="7">
                  <c:v>106076207.61575693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3-4298-9782-5C1ECBB2985A}"/>
            </c:ext>
          </c:extLst>
        </c:ser>
        <c:ser>
          <c:idx val="2"/>
          <c:order val="2"/>
          <c:tx>
            <c:strRef>
              <c:f>'3 Rekapituace'!$E$15</c:f>
              <c:strCache>
                <c:ptCount val="1"/>
                <c:pt idx="0">
                  <c:v>rok 2024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Rekapituace'!$A$16:$A$23</c:f>
              <c:strCache>
                <c:ptCount val="8"/>
                <c:pt idx="0">
                  <c:v>Ekonomická fakulta</c:v>
                </c:pt>
                <c:pt idx="1">
                  <c:v>Filozofická fakulta</c:v>
                </c:pt>
                <c:pt idx="2">
                  <c:v>Fakulta rybářství a ochrany vod</c:v>
                </c:pt>
                <c:pt idx="3">
                  <c:v>Pedagogická fakulta</c:v>
                </c:pt>
                <c:pt idx="4">
                  <c:v>Přírodovědecká fakulta</c:v>
                </c:pt>
                <c:pt idx="5">
                  <c:v>Teologická fakulta</c:v>
                </c:pt>
                <c:pt idx="6">
                  <c:v>Zdravotně sociální fakulta</c:v>
                </c:pt>
                <c:pt idx="7">
                  <c:v>Fakulta zemědělská a technologická</c:v>
                </c:pt>
              </c:strCache>
            </c:strRef>
          </c:cat>
          <c:val>
            <c:numRef>
              <c:f>'3 Rekapituace'!$E$16:$E$23</c:f>
              <c:numCache>
                <c:formatCode>#,##0</c:formatCode>
                <c:ptCount val="8"/>
                <c:pt idx="0">
                  <c:v>80740815.922148272</c:v>
                </c:pt>
                <c:pt idx="1">
                  <c:v>77864789.192157939</c:v>
                </c:pt>
                <c:pt idx="2">
                  <c:v>136566243.38446534</c:v>
                </c:pt>
                <c:pt idx="3">
                  <c:v>144875142.70369813</c:v>
                </c:pt>
                <c:pt idx="4">
                  <c:v>258030109.10647976</c:v>
                </c:pt>
                <c:pt idx="5">
                  <c:v>55701997.410582244</c:v>
                </c:pt>
                <c:pt idx="6">
                  <c:v>140616495.33630326</c:v>
                </c:pt>
                <c:pt idx="7">
                  <c:v>111241338.17834538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3-4298-9782-5C1ECBB29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10912944"/>
        <c:axId val="410915688"/>
      </c:barChart>
      <c:catAx>
        <c:axId val="410912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915688"/>
        <c:crosses val="autoZero"/>
        <c:auto val="1"/>
        <c:lblAlgn val="ctr"/>
        <c:lblOffset val="100"/>
        <c:noMultiLvlLbl val="0"/>
      </c:catAx>
      <c:valAx>
        <c:axId val="41091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91294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36951233224101754"/>
          <c:y val="0.91791013035830282"/>
          <c:w val="0.26097533551796498"/>
          <c:h val="4.79747386857078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ysClr val="windowText" lastClr="000000"/>
      </a:solidFill>
      <a:round/>
    </a:ln>
    <a:effectLst>
      <a:innerShdw blurRad="63500" dist="50800" dir="18900000">
        <a:prstClr val="black">
          <a:alpha val="50000"/>
        </a:prstClr>
      </a:innerShdw>
    </a:effectLst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70869</xdr:colOff>
      <xdr:row>7</xdr:row>
      <xdr:rowOff>50582</xdr:rowOff>
    </xdr:from>
    <xdr:to>
      <xdr:col>18</xdr:col>
      <xdr:colOff>47624</xdr:colOff>
      <xdr:row>29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142878</xdr:colOff>
      <xdr:row>0</xdr:row>
      <xdr:rowOff>47625</xdr:rowOff>
    </xdr:from>
    <xdr:to>
      <xdr:col>17</xdr:col>
      <xdr:colOff>1057275</xdr:colOff>
      <xdr:row>22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</xdr:colOff>
      <xdr:row>1</xdr:row>
      <xdr:rowOff>28574</xdr:rowOff>
    </xdr:from>
    <xdr:to>
      <xdr:col>20</xdr:col>
      <xdr:colOff>523875</xdr:colOff>
      <xdr:row>33</xdr:row>
      <xdr:rowOff>47626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ysea\PEC\jcu_ww_ro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EKLEN"/>
      <sheetName val="DATA"/>
      <sheetName val="STAVY"/>
      <sheetName val="Report"/>
      <sheetName val="DOC"/>
      <sheetName val="DCD"/>
      <sheetName val="CFG"/>
      <sheetName val="SEL Ora"/>
      <sheetName val="Zdroj"/>
      <sheetName val="Zdroj (2)"/>
      <sheetName val="SEL 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zoomScaleNormal="100" workbookViewId="0">
      <selection activeCell="A19" sqref="A19"/>
    </sheetView>
  </sheetViews>
  <sheetFormatPr defaultRowHeight="15" x14ac:dyDescent="0.25"/>
  <cols>
    <col min="1" max="1" width="117.7109375" bestFit="1" customWidth="1"/>
    <col min="2" max="2" width="40.85546875" bestFit="1" customWidth="1"/>
  </cols>
  <sheetData>
    <row r="1" spans="1:2" ht="15.75" x14ac:dyDescent="0.25">
      <c r="A1" s="1" t="s">
        <v>103</v>
      </c>
      <c r="B1" s="28" t="s">
        <v>21</v>
      </c>
    </row>
    <row r="2" spans="1:2" ht="15.75" x14ac:dyDescent="0.25">
      <c r="A2" s="29" t="s">
        <v>105</v>
      </c>
      <c r="B2" s="31" t="s">
        <v>27</v>
      </c>
    </row>
    <row r="3" spans="1:2" ht="15.75" x14ac:dyDescent="0.25">
      <c r="A3" s="29" t="s">
        <v>106</v>
      </c>
      <c r="B3" s="41" t="s">
        <v>109</v>
      </c>
    </row>
    <row r="4" spans="1:2" ht="15.75" x14ac:dyDescent="0.25">
      <c r="A4" s="29" t="s">
        <v>104</v>
      </c>
      <c r="B4" s="41" t="s">
        <v>110</v>
      </c>
    </row>
    <row r="5" spans="1:2" ht="15.75" x14ac:dyDescent="0.25">
      <c r="A5" s="29" t="s">
        <v>107</v>
      </c>
      <c r="B5" s="39" t="s">
        <v>22</v>
      </c>
    </row>
    <row r="6" spans="1:2" ht="15.75" x14ac:dyDescent="0.25">
      <c r="A6" s="21" t="s">
        <v>108</v>
      </c>
      <c r="B6" s="38" t="s">
        <v>24</v>
      </c>
    </row>
  </sheetData>
  <pageMargins left="0.7" right="0.7" top="0.78740157499999996" bottom="0.78740157499999996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48"/>
  <sheetViews>
    <sheetView topLeftCell="A11" zoomScaleNormal="100" workbookViewId="0">
      <selection activeCell="J25" sqref="J25"/>
    </sheetView>
  </sheetViews>
  <sheetFormatPr defaultColWidth="9.140625" defaultRowHeight="15" x14ac:dyDescent="0.25"/>
  <cols>
    <col min="1" max="1" width="50" style="5" customWidth="1"/>
    <col min="2" max="2" width="0.85546875" style="5" customWidth="1"/>
    <col min="3" max="7" width="17.7109375" style="5" customWidth="1"/>
    <col min="8" max="8" width="0.85546875" style="5" customWidth="1"/>
    <col min="9" max="10" width="10.7109375" style="5" customWidth="1"/>
    <col min="11" max="11" width="17.140625" style="5" customWidth="1"/>
    <col min="12" max="12" width="12" style="5" bestFit="1" customWidth="1"/>
    <col min="13" max="13" width="9.140625" style="5"/>
    <col min="14" max="14" width="12.5703125" style="5" bestFit="1" customWidth="1"/>
    <col min="15" max="16384" width="9.140625" style="5"/>
  </cols>
  <sheetData>
    <row r="1" spans="1:12" s="2" customFormat="1" ht="15.75" x14ac:dyDescent="0.25">
      <c r="A1" s="1" t="s">
        <v>103</v>
      </c>
      <c r="B1" s="1"/>
    </row>
    <row r="2" spans="1:12" ht="5.0999999999999996" customHeight="1" thickBot="1" x14ac:dyDescent="0.3">
      <c r="A2" s="3"/>
      <c r="B2" s="3"/>
      <c r="C2" s="4"/>
      <c r="D2" s="4"/>
      <c r="E2" s="4"/>
      <c r="F2" s="4"/>
      <c r="G2" s="4"/>
    </row>
    <row r="3" spans="1:12" ht="15" customHeight="1" x14ac:dyDescent="0.25">
      <c r="A3" s="226" t="s">
        <v>84</v>
      </c>
      <c r="B3" s="146"/>
      <c r="C3" s="231">
        <v>526116494</v>
      </c>
      <c r="D3" s="4"/>
      <c r="E3" s="4"/>
      <c r="F3" s="4"/>
      <c r="G3" s="4"/>
    </row>
    <row r="4" spans="1:12" ht="15.75" thickBot="1" x14ac:dyDescent="0.3">
      <c r="A4" s="227" t="s">
        <v>111</v>
      </c>
      <c r="B4" s="146"/>
      <c r="C4" s="232">
        <v>553806836</v>
      </c>
      <c r="D4" s="4"/>
      <c r="E4" s="4"/>
      <c r="F4" s="4"/>
      <c r="G4" s="4"/>
    </row>
    <row r="5" spans="1:12" ht="5.0999999999999996" customHeight="1" thickBot="1" x14ac:dyDescent="0.3">
      <c r="A5" s="109"/>
      <c r="B5"/>
      <c r="C5" s="110"/>
      <c r="D5" s="4"/>
      <c r="E5" s="4"/>
      <c r="F5" s="4"/>
      <c r="G5" s="4"/>
    </row>
    <row r="6" spans="1:12" x14ac:dyDescent="0.25">
      <c r="A6" s="226" t="s">
        <v>112</v>
      </c>
      <c r="B6" s="146"/>
      <c r="C6" s="231">
        <v>568140938</v>
      </c>
      <c r="D6" s="3"/>
      <c r="E6" s="3"/>
      <c r="F6" s="3"/>
      <c r="G6" s="3"/>
    </row>
    <row r="7" spans="1:12" x14ac:dyDescent="0.25">
      <c r="A7" s="228" t="s">
        <v>41</v>
      </c>
      <c r="B7" s="236"/>
      <c r="C7" s="233">
        <f>C6*0.95</f>
        <v>539733891.10000002</v>
      </c>
      <c r="D7" s="3"/>
      <c r="E7" s="3"/>
      <c r="F7" s="3"/>
      <c r="G7" s="3"/>
    </row>
    <row r="8" spans="1:12" x14ac:dyDescent="0.25">
      <c r="A8" s="229" t="s">
        <v>40</v>
      </c>
      <c r="B8" s="235"/>
      <c r="C8" s="234">
        <f>C6-C7</f>
        <v>28407046.899999976</v>
      </c>
      <c r="D8" s="3"/>
      <c r="E8" s="3"/>
      <c r="F8" s="3"/>
      <c r="G8" s="3"/>
    </row>
    <row r="9" spans="1:12" x14ac:dyDescent="0.25">
      <c r="A9" s="229" t="s">
        <v>32</v>
      </c>
      <c r="B9" s="235"/>
      <c r="C9" s="234">
        <f>C7*0.9</f>
        <v>485760501.99000001</v>
      </c>
      <c r="D9" s="4" t="s">
        <v>65</v>
      </c>
      <c r="E9" s="3"/>
      <c r="F9" s="3"/>
      <c r="G9" s="3"/>
    </row>
    <row r="10" spans="1:12" ht="15.75" thickBot="1" x14ac:dyDescent="0.3">
      <c r="A10" s="230" t="s">
        <v>33</v>
      </c>
      <c r="B10" s="235"/>
      <c r="C10" s="232">
        <f>C7*0.1</f>
        <v>53973389.110000007</v>
      </c>
      <c r="D10" s="4" t="s">
        <v>113</v>
      </c>
      <c r="E10" s="3"/>
      <c r="F10" s="3"/>
      <c r="G10" s="3"/>
    </row>
    <row r="11" spans="1:12" ht="5.0999999999999996" customHeight="1" thickBot="1" x14ac:dyDescent="0.3"/>
    <row r="12" spans="1:12" ht="50.1" customHeight="1" x14ac:dyDescent="0.25">
      <c r="A12" s="216" t="s">
        <v>30</v>
      </c>
      <c r="B12" s="129"/>
      <c r="C12" s="131" t="s">
        <v>31</v>
      </c>
      <c r="D12" s="98" t="s">
        <v>114</v>
      </c>
      <c r="E12" s="98" t="s">
        <v>34</v>
      </c>
      <c r="F12" s="98" t="s">
        <v>119</v>
      </c>
      <c r="G12" s="99" t="s">
        <v>160</v>
      </c>
      <c r="H12"/>
      <c r="I12" s="131" t="s">
        <v>86</v>
      </c>
      <c r="J12" s="99" t="s">
        <v>87</v>
      </c>
      <c r="K12"/>
      <c r="L12"/>
    </row>
    <row r="13" spans="1:12" x14ac:dyDescent="0.25">
      <c r="A13" s="185" t="s">
        <v>0</v>
      </c>
      <c r="B13" s="127"/>
      <c r="C13" s="211">
        <v>0.10520860685642792</v>
      </c>
      <c r="D13" s="22">
        <f>$C$9*C13</f>
        <v>51106185.680246986</v>
      </c>
      <c r="E13" s="44">
        <v>7.9601500192447133E-2</v>
      </c>
      <c r="F13" s="22">
        <f>E13*$C$10</f>
        <v>4296362.7436266895</v>
      </c>
      <c r="G13" s="212">
        <f>D13+F13</f>
        <v>55402548.423873678</v>
      </c>
      <c r="H13"/>
      <c r="I13" s="329">
        <v>823</v>
      </c>
      <c r="J13" s="330">
        <v>889.30000000000007</v>
      </c>
      <c r="K13"/>
      <c r="L13"/>
    </row>
    <row r="14" spans="1:12" x14ac:dyDescent="0.25">
      <c r="A14" s="186" t="s">
        <v>1</v>
      </c>
      <c r="B14" s="206"/>
      <c r="C14" s="211">
        <v>6.217917260238924E-2</v>
      </c>
      <c r="D14" s="22">
        <f t="shared" ref="D14:D20" si="0">$C$9*C14</f>
        <v>30204186.096659452</v>
      </c>
      <c r="E14" s="44">
        <v>7.3523751555241282E-2</v>
      </c>
      <c r="F14" s="22">
        <f t="shared" ref="F14:F20" si="1">E14*$C$10</f>
        <v>3968326.0515180058</v>
      </c>
      <c r="G14" s="212">
        <f t="shared" ref="G14:G20" si="2">D14+F14</f>
        <v>34172512.14817746</v>
      </c>
      <c r="H14"/>
      <c r="I14" s="329">
        <v>716</v>
      </c>
      <c r="J14" s="330">
        <v>821.4</v>
      </c>
      <c r="K14"/>
      <c r="L14"/>
    </row>
    <row r="15" spans="1:12" x14ac:dyDescent="0.25">
      <c r="A15" s="185" t="s">
        <v>2</v>
      </c>
      <c r="B15" s="127"/>
      <c r="C15" s="211">
        <v>3.9211633101688938E-2</v>
      </c>
      <c r="D15" s="22">
        <f t="shared" si="0"/>
        <v>19047462.579324119</v>
      </c>
      <c r="E15" s="44">
        <v>2.8974480616546873E-2</v>
      </c>
      <c r="F15" s="22">
        <f t="shared" si="1"/>
        <v>1563850.9165770372</v>
      </c>
      <c r="G15" s="212">
        <f t="shared" si="2"/>
        <v>20611313.495901156</v>
      </c>
      <c r="H15"/>
      <c r="I15" s="329">
        <v>158</v>
      </c>
      <c r="J15" s="330">
        <v>323.7</v>
      </c>
      <c r="K15"/>
      <c r="L15"/>
    </row>
    <row r="16" spans="1:12" x14ac:dyDescent="0.25">
      <c r="A16" s="185" t="s">
        <v>3</v>
      </c>
      <c r="B16" s="127"/>
      <c r="C16" s="211">
        <v>0.20653755085012046</v>
      </c>
      <c r="D16" s="22">
        <f t="shared" si="0"/>
        <v>100327784.38073967</v>
      </c>
      <c r="E16" s="44">
        <v>0.18648573653541473</v>
      </c>
      <c r="F16" s="22">
        <f t="shared" si="1"/>
        <v>10065267.221490884</v>
      </c>
      <c r="G16" s="212">
        <f t="shared" si="2"/>
        <v>110393051.60223056</v>
      </c>
      <c r="H16"/>
      <c r="I16" s="329">
        <v>1661</v>
      </c>
      <c r="J16" s="330">
        <v>2083.3999999999996</v>
      </c>
      <c r="K16"/>
      <c r="L16"/>
    </row>
    <row r="17" spans="1:12" x14ac:dyDescent="0.25">
      <c r="A17" s="185" t="s">
        <v>4</v>
      </c>
      <c r="B17" s="127"/>
      <c r="C17" s="211">
        <v>0.16505425036692606</v>
      </c>
      <c r="D17" s="22">
        <f t="shared" si="0"/>
        <v>80176835.51382114</v>
      </c>
      <c r="E17" s="44">
        <v>0.18463734906327478</v>
      </c>
      <c r="F17" s="22">
        <f t="shared" si="1"/>
        <v>9965503.4852310251</v>
      </c>
      <c r="G17" s="212">
        <f t="shared" si="2"/>
        <v>90142338.999052167</v>
      </c>
      <c r="H17"/>
      <c r="I17" s="329">
        <v>932</v>
      </c>
      <c r="J17" s="330">
        <v>2062.7499999999995</v>
      </c>
      <c r="K17"/>
      <c r="L17"/>
    </row>
    <row r="18" spans="1:12" x14ac:dyDescent="0.25">
      <c r="A18" s="185" t="s">
        <v>5</v>
      </c>
      <c r="B18" s="127"/>
      <c r="C18" s="211">
        <v>5.3076417312018023E-2</v>
      </c>
      <c r="D18" s="22">
        <f t="shared" si="0"/>
        <v>25782427.117316604</v>
      </c>
      <c r="E18" s="44">
        <v>5.5890224581315623E-2</v>
      </c>
      <c r="F18" s="22">
        <f t="shared" si="1"/>
        <v>3016584.8387726354</v>
      </c>
      <c r="G18" s="212">
        <f t="shared" si="2"/>
        <v>28799011.95608924</v>
      </c>
      <c r="H18"/>
      <c r="I18" s="329">
        <v>576</v>
      </c>
      <c r="J18" s="330">
        <v>624.4</v>
      </c>
      <c r="K18"/>
      <c r="L18"/>
    </row>
    <row r="19" spans="1:12" x14ac:dyDescent="0.25">
      <c r="A19" s="186" t="s">
        <v>6</v>
      </c>
      <c r="B19" s="206"/>
      <c r="C19" s="211">
        <v>0.2224486631444641</v>
      </c>
      <c r="D19" s="22">
        <f t="shared" si="0"/>
        <v>108056774.2760593</v>
      </c>
      <c r="E19" s="44">
        <v>0.21827979126200558</v>
      </c>
      <c r="F19" s="22">
        <f t="shared" si="1"/>
        <v>11781300.108633807</v>
      </c>
      <c r="G19" s="212">
        <f t="shared" si="2"/>
        <v>119838074.3846931</v>
      </c>
      <c r="H19"/>
      <c r="I19" s="329">
        <v>1223</v>
      </c>
      <c r="J19" s="330">
        <v>2438.6</v>
      </c>
      <c r="K19"/>
      <c r="L19"/>
    </row>
    <row r="20" spans="1:12" ht="15.75" thickBot="1" x14ac:dyDescent="0.3">
      <c r="A20" s="327" t="s">
        <v>81</v>
      </c>
      <c r="B20" s="206"/>
      <c r="C20" s="213">
        <v>0.14628370576596517</v>
      </c>
      <c r="D20" s="103">
        <f t="shared" si="0"/>
        <v>71058846.345832691</v>
      </c>
      <c r="E20" s="102">
        <v>0.17260716619375399</v>
      </c>
      <c r="F20" s="103">
        <f t="shared" si="1"/>
        <v>9316193.7441499233</v>
      </c>
      <c r="G20" s="214">
        <f t="shared" si="2"/>
        <v>80375040.089982614</v>
      </c>
      <c r="H20"/>
      <c r="I20" s="331">
        <v>859</v>
      </c>
      <c r="J20" s="332">
        <v>1928.35</v>
      </c>
      <c r="K20"/>
      <c r="L20"/>
    </row>
    <row r="21" spans="1:12" ht="5.0999999999999996" customHeight="1" thickBot="1" x14ac:dyDescent="0.3">
      <c r="A21" s="218"/>
      <c r="B21" s="209"/>
      <c r="C21" s="219"/>
      <c r="D21" s="220"/>
      <c r="E21" s="220"/>
      <c r="F21" s="220"/>
      <c r="G21" s="220"/>
      <c r="H21"/>
      <c r="I21" s="12"/>
      <c r="J21" s="12"/>
      <c r="K21"/>
      <c r="L21"/>
    </row>
    <row r="22" spans="1:12" ht="15.75" thickBot="1" x14ac:dyDescent="0.3">
      <c r="A22" s="217" t="s">
        <v>7</v>
      </c>
      <c r="B22" s="130"/>
      <c r="C22" s="215">
        <f>SUM(C13:C21)</f>
        <v>1</v>
      </c>
      <c r="D22" s="106">
        <f>SUM(D13:D21)</f>
        <v>485760501.99000001</v>
      </c>
      <c r="E22" s="105">
        <f t="shared" ref="E22:G22" si="3">SUM(E13:E21)</f>
        <v>1</v>
      </c>
      <c r="F22" s="106">
        <f t="shared" si="3"/>
        <v>53973389.110000007</v>
      </c>
      <c r="G22" s="107">
        <f t="shared" si="3"/>
        <v>539733891.0999999</v>
      </c>
      <c r="H22"/>
      <c r="I22" s="333">
        <f>SUM(I13:I20)</f>
        <v>6948</v>
      </c>
      <c r="J22" s="334">
        <f>SUM(J13:J20)</f>
        <v>11171.9</v>
      </c>
      <c r="K22"/>
      <c r="L22"/>
    </row>
    <row r="23" spans="1:12" ht="5.0999999999999996" customHeight="1" x14ac:dyDescent="0.25">
      <c r="H23"/>
      <c r="I23"/>
      <c r="J23"/>
      <c r="K23"/>
      <c r="L23"/>
    </row>
    <row r="24" spans="1:12" ht="15" customHeight="1" thickBot="1" x14ac:dyDescent="0.3">
      <c r="A24" s="6" t="s">
        <v>89</v>
      </c>
      <c r="B24" s="6"/>
      <c r="H24"/>
      <c r="I24"/>
      <c r="J24"/>
      <c r="K24"/>
      <c r="L24"/>
    </row>
    <row r="25" spans="1:12" ht="50.1" customHeight="1" x14ac:dyDescent="0.25">
      <c r="A25" s="136" t="s">
        <v>30</v>
      </c>
      <c r="B25" s="129"/>
      <c r="C25" s="131" t="s">
        <v>75</v>
      </c>
      <c r="D25" s="257" t="s">
        <v>85</v>
      </c>
      <c r="E25" s="225" t="s">
        <v>115</v>
      </c>
      <c r="F25" s="362" t="s">
        <v>116</v>
      </c>
      <c r="G25" s="363"/>
      <c r="H25" s="45"/>
    </row>
    <row r="26" spans="1:12" x14ac:dyDescent="0.25">
      <c r="A26" s="185" t="s">
        <v>0</v>
      </c>
      <c r="B26" s="127"/>
      <c r="C26" s="132">
        <v>56375489.822927698</v>
      </c>
      <c r="D26" s="258">
        <v>55351983.398969941</v>
      </c>
      <c r="E26" s="303">
        <f t="shared" ref="E26:E33" si="4">G13</f>
        <v>55402548.423873678</v>
      </c>
      <c r="F26" s="189">
        <f>E26-D26</f>
        <v>50565.024903737009</v>
      </c>
      <c r="G26" s="187">
        <f>F26/D26</f>
        <v>9.1351785064811225E-4</v>
      </c>
      <c r="I26" s="18"/>
    </row>
    <row r="27" spans="1:12" x14ac:dyDescent="0.25">
      <c r="A27" s="186" t="s">
        <v>1</v>
      </c>
      <c r="B27" s="206"/>
      <c r="C27" s="132">
        <v>32275714.397407155</v>
      </c>
      <c r="D27" s="258">
        <v>32713488.301825717</v>
      </c>
      <c r="E27" s="303">
        <f t="shared" si="4"/>
        <v>34172512.14817746</v>
      </c>
      <c r="F27" s="189">
        <f t="shared" ref="F27:F33" si="5">E27-D27</f>
        <v>1459023.8463517427</v>
      </c>
      <c r="G27" s="187">
        <f t="shared" ref="G27:G33" si="6">F27/D27</f>
        <v>4.4600069331961631E-2</v>
      </c>
    </row>
    <row r="28" spans="1:12" x14ac:dyDescent="0.25">
      <c r="A28" s="185" t="s">
        <v>2</v>
      </c>
      <c r="B28" s="127"/>
      <c r="C28" s="132">
        <v>21201735.210104052</v>
      </c>
      <c r="D28" s="258">
        <v>20629886.939317252</v>
      </c>
      <c r="E28" s="303">
        <f t="shared" si="4"/>
        <v>20611313.495901156</v>
      </c>
      <c r="F28" s="189">
        <f t="shared" si="5"/>
        <v>-18573.44341609627</v>
      </c>
      <c r="G28" s="187">
        <f t="shared" si="6"/>
        <v>-9.0031726643631136E-4</v>
      </c>
    </row>
    <row r="29" spans="1:12" x14ac:dyDescent="0.25">
      <c r="A29" s="185" t="s">
        <v>3</v>
      </c>
      <c r="B29" s="127"/>
      <c r="C29" s="132">
        <v>109588346.96220589</v>
      </c>
      <c r="D29" s="258">
        <v>108662812.1739196</v>
      </c>
      <c r="E29" s="303">
        <f t="shared" si="4"/>
        <v>110393051.60223056</v>
      </c>
      <c r="F29" s="189">
        <f t="shared" si="5"/>
        <v>1730239.4283109605</v>
      </c>
      <c r="G29" s="187">
        <f t="shared" si="6"/>
        <v>1.5923013528691271E-2</v>
      </c>
    </row>
    <row r="30" spans="1:12" x14ac:dyDescent="0.25">
      <c r="A30" s="185" t="s">
        <v>4</v>
      </c>
      <c r="B30" s="127"/>
      <c r="C30" s="132">
        <v>85941886.772072539</v>
      </c>
      <c r="D30" s="258">
        <v>86837763.555856213</v>
      </c>
      <c r="E30" s="303">
        <f t="shared" si="4"/>
        <v>90142338.999052167</v>
      </c>
      <c r="F30" s="189">
        <f t="shared" si="5"/>
        <v>3304575.443195954</v>
      </c>
      <c r="G30" s="187">
        <f t="shared" si="6"/>
        <v>3.8054589476735762E-2</v>
      </c>
    </row>
    <row r="31" spans="1:12" x14ac:dyDescent="0.25">
      <c r="A31" s="185" t="s">
        <v>5</v>
      </c>
      <c r="B31" s="127"/>
      <c r="C31" s="132">
        <v>27765618.439845316</v>
      </c>
      <c r="D31" s="258">
        <v>27924378.600895111</v>
      </c>
      <c r="E31" s="303">
        <f t="shared" si="4"/>
        <v>28799011.95608924</v>
      </c>
      <c r="F31" s="189">
        <f t="shared" si="5"/>
        <v>874633.35519412905</v>
      </c>
      <c r="G31" s="187">
        <f t="shared" si="6"/>
        <v>3.1321497523532818E-2</v>
      </c>
    </row>
    <row r="32" spans="1:12" x14ac:dyDescent="0.25">
      <c r="A32" s="186" t="s">
        <v>6</v>
      </c>
      <c r="B32" s="206"/>
      <c r="C32" s="132">
        <v>116902969.29788722</v>
      </c>
      <c r="D32" s="258">
        <v>117033910.7930422</v>
      </c>
      <c r="E32" s="303">
        <f t="shared" si="4"/>
        <v>119838074.3846931</v>
      </c>
      <c r="F32" s="189">
        <f t="shared" si="5"/>
        <v>2804163.5916509032</v>
      </c>
      <c r="G32" s="187">
        <f t="shared" si="6"/>
        <v>2.396026564138036E-2</v>
      </c>
    </row>
    <row r="33" spans="1:7" ht="15.75" thickBot="1" x14ac:dyDescent="0.3">
      <c r="A33" s="327" t="s">
        <v>81</v>
      </c>
      <c r="B33" s="206"/>
      <c r="C33" s="221">
        <v>76064733.297550052</v>
      </c>
      <c r="D33" s="259">
        <v>76962270.436173916</v>
      </c>
      <c r="E33" s="304">
        <f t="shared" si="4"/>
        <v>80375040.089982614</v>
      </c>
      <c r="F33" s="190">
        <f t="shared" si="5"/>
        <v>3412769.6538086981</v>
      </c>
      <c r="G33" s="188">
        <f t="shared" si="6"/>
        <v>4.4343411836309639E-2</v>
      </c>
    </row>
    <row r="34" spans="1:7" ht="5.0999999999999996" customHeight="1" thickBot="1" x14ac:dyDescent="0.3">
      <c r="A34" s="218"/>
      <c r="B34" s="209"/>
      <c r="C34" s="218"/>
      <c r="D34" s="218"/>
      <c r="E34" s="222"/>
      <c r="F34" s="223"/>
      <c r="G34" s="224"/>
    </row>
    <row r="35" spans="1:7" ht="15.75" thickBot="1" x14ac:dyDescent="0.3">
      <c r="A35" s="104" t="s">
        <v>7</v>
      </c>
      <c r="B35" s="130"/>
      <c r="C35" s="106">
        <f>SUM(C26:C34)</f>
        <v>526116494.19999993</v>
      </c>
      <c r="D35" s="106">
        <f>SUM(D26:D34)</f>
        <v>526116494.19999993</v>
      </c>
      <c r="E35" s="210">
        <f>G22</f>
        <v>539733891.0999999</v>
      </c>
      <c r="F35" s="243">
        <f>E35-D35</f>
        <v>13617396.899999976</v>
      </c>
      <c r="G35" s="244">
        <f>F35/D35</f>
        <v>2.588285493825139E-2</v>
      </c>
    </row>
    <row r="36" spans="1:7" ht="5.0999999999999996" customHeight="1" x14ac:dyDescent="0.25"/>
    <row r="37" spans="1:7" ht="15.75" thickBot="1" x14ac:dyDescent="0.3">
      <c r="A37" s="6" t="s">
        <v>69</v>
      </c>
    </row>
    <row r="38" spans="1:7" ht="50.1" customHeight="1" x14ac:dyDescent="0.25">
      <c r="A38" s="201" t="s">
        <v>30</v>
      </c>
      <c r="C38" s="131" t="s">
        <v>76</v>
      </c>
      <c r="D38" s="98" t="s">
        <v>88</v>
      </c>
      <c r="E38" s="99" t="s">
        <v>117</v>
      </c>
      <c r="F38" s="276"/>
      <c r="G38" s="276"/>
    </row>
    <row r="39" spans="1:7" x14ac:dyDescent="0.25">
      <c r="A39" s="202" t="s">
        <v>0</v>
      </c>
      <c r="C39" s="277">
        <v>0.10715400570866136</v>
      </c>
      <c r="D39" s="278">
        <v>0.10520860685642794</v>
      </c>
      <c r="E39" s="305">
        <f t="shared" ref="E39" si="7">E26/E$35</f>
        <v>0.10264789619002987</v>
      </c>
    </row>
    <row r="40" spans="1:7" x14ac:dyDescent="0.25">
      <c r="A40" s="203" t="s">
        <v>1</v>
      </c>
      <c r="C40" s="277">
        <v>6.1347087105651059E-2</v>
      </c>
      <c r="D40" s="278">
        <v>6.2179172602389247E-2</v>
      </c>
      <c r="E40" s="305">
        <f t="shared" ref="C40:E48" si="8">E27/E$35</f>
        <v>6.3313630497674467E-2</v>
      </c>
    </row>
    <row r="41" spans="1:7" x14ac:dyDescent="0.25">
      <c r="A41" s="202" t="s">
        <v>2</v>
      </c>
      <c r="C41" s="277">
        <v>4.0298556391665498E-2</v>
      </c>
      <c r="D41" s="278">
        <v>3.9211633101688938E-2</v>
      </c>
      <c r="E41" s="305">
        <f t="shared" si="8"/>
        <v>3.8187917853174741E-2</v>
      </c>
    </row>
    <row r="42" spans="1:7" x14ac:dyDescent="0.25">
      <c r="A42" s="202" t="s">
        <v>3</v>
      </c>
      <c r="C42" s="277">
        <v>0.20829673308160257</v>
      </c>
      <c r="D42" s="278">
        <v>0.20653755085012049</v>
      </c>
      <c r="E42" s="305">
        <f t="shared" si="8"/>
        <v>0.20453236941864994</v>
      </c>
    </row>
    <row r="43" spans="1:7" x14ac:dyDescent="0.25">
      <c r="A43" s="202" t="s">
        <v>4</v>
      </c>
      <c r="C43" s="277">
        <v>0.16335143968970922</v>
      </c>
      <c r="D43" s="278">
        <v>0.16505425036692611</v>
      </c>
      <c r="E43" s="305">
        <f t="shared" si="8"/>
        <v>0.16701256023656097</v>
      </c>
    </row>
    <row r="44" spans="1:7" x14ac:dyDescent="0.25">
      <c r="A44" s="202" t="s">
        <v>5</v>
      </c>
      <c r="C44" s="277">
        <v>5.2774658741815438E-2</v>
      </c>
      <c r="D44" s="278">
        <v>5.307641731201803E-2</v>
      </c>
      <c r="E44" s="305">
        <f t="shared" si="8"/>
        <v>5.3357798038947801E-2</v>
      </c>
    </row>
    <row r="45" spans="1:7" x14ac:dyDescent="0.25">
      <c r="A45" s="203" t="s">
        <v>6</v>
      </c>
      <c r="C45" s="277">
        <v>0.22219978006134755</v>
      </c>
      <c r="D45" s="278">
        <v>0.22244866314446413</v>
      </c>
      <c r="E45" s="305">
        <f t="shared" si="8"/>
        <v>0.22203177595621829</v>
      </c>
    </row>
    <row r="46" spans="1:7" ht="15.75" thickBot="1" x14ac:dyDescent="0.3">
      <c r="A46" s="328" t="s">
        <v>81</v>
      </c>
      <c r="C46" s="279">
        <v>0.14457773921954728</v>
      </c>
      <c r="D46" s="280">
        <v>0.14628370576596519</v>
      </c>
      <c r="E46" s="306">
        <f t="shared" si="8"/>
        <v>0.14891605180874407</v>
      </c>
    </row>
    <row r="47" spans="1:7" ht="5.0999999999999996" customHeight="1" thickBot="1" x14ac:dyDescent="0.3">
      <c r="A47" s="218"/>
    </row>
    <row r="48" spans="1:7" ht="15.75" thickBot="1" x14ac:dyDescent="0.3">
      <c r="A48" s="281" t="s">
        <v>7</v>
      </c>
      <c r="C48" s="314">
        <f t="shared" si="8"/>
        <v>1</v>
      </c>
      <c r="D48" s="315">
        <f t="shared" si="8"/>
        <v>1</v>
      </c>
      <c r="E48" s="316">
        <f t="shared" si="8"/>
        <v>1</v>
      </c>
    </row>
  </sheetData>
  <mergeCells count="1">
    <mergeCell ref="F25:G25"/>
  </mergeCells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W48"/>
  <sheetViews>
    <sheetView zoomScaleNormal="100" zoomScaleSheetLayoutView="100" workbookViewId="0">
      <selection activeCell="M25" sqref="M25"/>
    </sheetView>
  </sheetViews>
  <sheetFormatPr defaultColWidth="9.140625" defaultRowHeight="15" x14ac:dyDescent="0.25"/>
  <cols>
    <col min="1" max="1" width="33.42578125" style="5" customWidth="1"/>
    <col min="2" max="2" width="0.85546875" style="5" customWidth="1"/>
    <col min="3" max="4" width="15.7109375" style="5" customWidth="1"/>
    <col min="5" max="5" width="0.85546875" style="5" customWidth="1"/>
    <col min="6" max="13" width="15.7109375" style="5" customWidth="1"/>
    <col min="14" max="14" width="16" style="5" bestFit="1" customWidth="1"/>
    <col min="15" max="15" width="0.85546875" style="5" customWidth="1"/>
    <col min="16" max="16" width="16.28515625" style="5" customWidth="1"/>
    <col min="17" max="17" width="13.42578125" style="5" bestFit="1" customWidth="1"/>
    <col min="18" max="18" width="15.42578125" style="5" bestFit="1" customWidth="1"/>
    <col min="19" max="19" width="5" style="5" customWidth="1"/>
    <col min="20" max="20" width="13.42578125" style="5" bestFit="1" customWidth="1"/>
    <col min="21" max="21" width="13.140625" style="5" customWidth="1"/>
    <col min="22" max="22" width="3.7109375" style="5" customWidth="1"/>
    <col min="23" max="23" width="12.28515625" style="23" bestFit="1" customWidth="1"/>
    <col min="24" max="24" width="12.28515625" style="5" bestFit="1" customWidth="1"/>
    <col min="25" max="16384" width="9.140625" style="5"/>
  </cols>
  <sheetData>
    <row r="1" spans="1:23" s="29" customFormat="1" ht="15.75" x14ac:dyDescent="0.25">
      <c r="A1" s="29" t="s">
        <v>105</v>
      </c>
      <c r="W1" s="30"/>
    </row>
    <row r="2" spans="1:23" ht="5.0999999999999996" customHeight="1" thickBot="1" x14ac:dyDescent="0.3"/>
    <row r="3" spans="1:23" customFormat="1" x14ac:dyDescent="0.25">
      <c r="A3" s="226" t="s">
        <v>118</v>
      </c>
      <c r="B3" s="146"/>
      <c r="C3" s="239">
        <v>138483812</v>
      </c>
      <c r="D3" s="32"/>
      <c r="E3" s="32"/>
      <c r="G3" s="32"/>
      <c r="J3" s="12"/>
      <c r="W3" s="14"/>
    </row>
    <row r="4" spans="1:23" customFormat="1" ht="15.75" thickBot="1" x14ac:dyDescent="0.3">
      <c r="A4" s="227" t="s">
        <v>90</v>
      </c>
      <c r="B4" s="147"/>
      <c r="C4" s="240">
        <v>129737403</v>
      </c>
      <c r="D4" s="32"/>
      <c r="E4" s="32"/>
      <c r="W4" s="14"/>
    </row>
    <row r="5" spans="1:23" customFormat="1" ht="5.0999999999999996" customHeight="1" thickBot="1" x14ac:dyDescent="0.3">
      <c r="A5" s="6"/>
      <c r="B5" s="6"/>
      <c r="C5" s="12"/>
      <c r="D5" s="32"/>
      <c r="E5" s="32"/>
      <c r="W5" s="14"/>
    </row>
    <row r="6" spans="1:23" customFormat="1" x14ac:dyDescent="0.25">
      <c r="A6" s="226" t="s">
        <v>43</v>
      </c>
      <c r="B6" s="146"/>
      <c r="C6" s="239">
        <f>C3*0.05</f>
        <v>6924190.6000000006</v>
      </c>
      <c r="F6" s="33"/>
      <c r="W6" s="14"/>
    </row>
    <row r="7" spans="1:23" customFormat="1" x14ac:dyDescent="0.25">
      <c r="A7" s="237" t="s">
        <v>44</v>
      </c>
      <c r="B7" s="147"/>
      <c r="C7" s="241">
        <f>C3-C6</f>
        <v>131559621.40000001</v>
      </c>
      <c r="F7" s="33"/>
      <c r="W7" s="14"/>
    </row>
    <row r="8" spans="1:23" customFormat="1" x14ac:dyDescent="0.25">
      <c r="A8" s="238" t="s">
        <v>35</v>
      </c>
      <c r="B8" s="147"/>
      <c r="C8" s="242">
        <f>C7*0.7</f>
        <v>92091734.980000004</v>
      </c>
      <c r="D8" s="4" t="s">
        <v>65</v>
      </c>
      <c r="F8" s="33"/>
      <c r="W8" s="14"/>
    </row>
    <row r="9" spans="1:23" customFormat="1" ht="15.75" thickBot="1" x14ac:dyDescent="0.3">
      <c r="A9" s="227" t="s">
        <v>36</v>
      </c>
      <c r="B9" s="147"/>
      <c r="C9" s="240">
        <f>C7*0.3</f>
        <v>39467886.420000002</v>
      </c>
      <c r="D9" t="s">
        <v>66</v>
      </c>
      <c r="F9" s="33"/>
      <c r="I9" s="155"/>
      <c r="W9" s="14"/>
    </row>
    <row r="10" spans="1:23" customFormat="1" ht="5.0999999999999996" customHeight="1" thickBot="1" x14ac:dyDescent="0.3">
      <c r="D10" s="34"/>
      <c r="E10" s="34"/>
      <c r="F10" s="34"/>
      <c r="G10" s="34"/>
      <c r="H10" s="34"/>
      <c r="I10" s="34"/>
      <c r="W10" s="14"/>
    </row>
    <row r="11" spans="1:23" customFormat="1" ht="60" customHeight="1" x14ac:dyDescent="0.25">
      <c r="A11" s="385" t="s">
        <v>30</v>
      </c>
      <c r="B11" s="67"/>
      <c r="C11" s="389" t="s">
        <v>31</v>
      </c>
      <c r="D11" s="391" t="s">
        <v>114</v>
      </c>
      <c r="E11" s="57"/>
      <c r="F11" s="51" t="s">
        <v>37</v>
      </c>
      <c r="G11" s="52" t="s">
        <v>18</v>
      </c>
      <c r="H11" s="52" t="s">
        <v>19</v>
      </c>
      <c r="I11" s="52" t="s">
        <v>20</v>
      </c>
      <c r="J11" s="52" t="s">
        <v>39</v>
      </c>
      <c r="K11" s="52" t="s">
        <v>38</v>
      </c>
      <c r="L11" s="52" t="s">
        <v>79</v>
      </c>
      <c r="M11" s="387" t="s">
        <v>42</v>
      </c>
      <c r="N11" s="383" t="s">
        <v>119</v>
      </c>
      <c r="O11" s="61"/>
      <c r="P11" s="381" t="s">
        <v>102</v>
      </c>
    </row>
    <row r="12" spans="1:23" customFormat="1" x14ac:dyDescent="0.25">
      <c r="A12" s="386"/>
      <c r="B12" s="67"/>
      <c r="C12" s="390"/>
      <c r="D12" s="392"/>
      <c r="E12" s="57"/>
      <c r="F12" s="54">
        <v>0.25</v>
      </c>
      <c r="G12" s="26">
        <v>0.2</v>
      </c>
      <c r="H12" s="26">
        <v>0.15</v>
      </c>
      <c r="I12" s="26">
        <v>0.15</v>
      </c>
      <c r="J12" s="26">
        <v>0.15</v>
      </c>
      <c r="K12" s="26">
        <v>0.05</v>
      </c>
      <c r="L12" s="26">
        <v>0.05</v>
      </c>
      <c r="M12" s="388"/>
      <c r="N12" s="384"/>
      <c r="O12" s="61"/>
      <c r="P12" s="382"/>
    </row>
    <row r="13" spans="1:23" customFormat="1" x14ac:dyDescent="0.25">
      <c r="A13" s="63" t="s">
        <v>0</v>
      </c>
      <c r="B13" s="65"/>
      <c r="C13" s="48">
        <v>0.10010553473596095</v>
      </c>
      <c r="D13" s="49">
        <f>C13*$C$8</f>
        <v>9218892.374935301</v>
      </c>
      <c r="E13" s="58"/>
      <c r="F13" s="55">
        <v>3.1186256556609442E-2</v>
      </c>
      <c r="G13" s="35">
        <v>0.25472479278034443</v>
      </c>
      <c r="H13" s="35">
        <v>0.11314150597196763</v>
      </c>
      <c r="I13" s="35">
        <v>7.5753235252195509E-4</v>
      </c>
      <c r="J13" s="35">
        <v>4.5666102130033803E-2</v>
      </c>
      <c r="K13" s="35">
        <v>0.11848660991819897</v>
      </c>
      <c r="L13" s="35">
        <v>0.12905462510012169</v>
      </c>
      <c r="M13" s="35">
        <v>9.5054582259248177E-2</v>
      </c>
      <c r="N13" s="56">
        <f>M13*$C$9</f>
        <v>3751603.4563085544</v>
      </c>
      <c r="O13" s="60"/>
      <c r="P13" s="36">
        <v>12970447.41421419</v>
      </c>
    </row>
    <row r="14" spans="1:23" customFormat="1" x14ac:dyDescent="0.25">
      <c r="A14" s="64" t="s">
        <v>1</v>
      </c>
      <c r="B14" s="66"/>
      <c r="C14" s="50">
        <v>0.10907220594820659</v>
      </c>
      <c r="D14" s="49">
        <f t="shared" ref="D14:D20" si="0">C14*$C$8</f>
        <v>10044648.683866221</v>
      </c>
      <c r="E14" s="58"/>
      <c r="F14" s="55">
        <v>8.2664169977653704E-2</v>
      </c>
      <c r="G14" s="35">
        <v>0.20875552172237008</v>
      </c>
      <c r="H14" s="35">
        <v>7.5556175491532263E-2</v>
      </c>
      <c r="I14" s="35">
        <v>1.9870326993595342E-2</v>
      </c>
      <c r="J14" s="35">
        <v>0.11399528224023327</v>
      </c>
      <c r="K14" s="35">
        <v>0.23043369531503652</v>
      </c>
      <c r="L14" s="35">
        <v>0.13980066632017474</v>
      </c>
      <c r="M14" s="35">
        <v>0.11237431376452726</v>
      </c>
      <c r="N14" s="56">
        <f t="shared" ref="N14:N20" si="1">M14*$C$9</f>
        <v>4435176.6521838047</v>
      </c>
      <c r="O14" s="60"/>
      <c r="P14" s="36">
        <v>14478555.214666009</v>
      </c>
    </row>
    <row r="15" spans="1:23" customFormat="1" x14ac:dyDescent="0.25">
      <c r="A15" s="64" t="s">
        <v>2</v>
      </c>
      <c r="B15" s="66"/>
      <c r="C15" s="50">
        <v>0.16215345423756031</v>
      </c>
      <c r="D15" s="49">
        <f t="shared" si="0"/>
        <v>14932992.933736963</v>
      </c>
      <c r="E15" s="58"/>
      <c r="F15" s="55">
        <v>0.3230759948784051</v>
      </c>
      <c r="G15" s="35">
        <v>5.7883098746379195E-2</v>
      </c>
      <c r="H15" s="35">
        <v>1.4365303053412952E-2</v>
      </c>
      <c r="I15" s="35">
        <v>0.34840946856268101</v>
      </c>
      <c r="J15" s="35">
        <v>0.1237168480985409</v>
      </c>
      <c r="K15" s="35">
        <v>0.13920561466349796</v>
      </c>
      <c r="L15" s="35">
        <v>0.13091638415338466</v>
      </c>
      <c r="M15" s="35">
        <v>0.17939007707830046</v>
      </c>
      <c r="N15" s="56">
        <f t="shared" si="1"/>
        <v>7080147.1870014081</v>
      </c>
      <c r="O15" s="60"/>
      <c r="P15" s="36">
        <v>21990855.931970511</v>
      </c>
    </row>
    <row r="16" spans="1:23" customFormat="1" x14ac:dyDescent="0.25">
      <c r="A16" s="64" t="s">
        <v>3</v>
      </c>
      <c r="B16" s="66"/>
      <c r="C16" s="50">
        <v>0.12736092038141281</v>
      </c>
      <c r="D16" s="49">
        <f t="shared" si="0"/>
        <v>11728888.12657395</v>
      </c>
      <c r="E16" s="58"/>
      <c r="F16" s="55">
        <v>4.2149971384702369E-2</v>
      </c>
      <c r="G16" s="35">
        <v>0.16129249245785884</v>
      </c>
      <c r="H16" s="35">
        <v>0.26952926559549295</v>
      </c>
      <c r="I16" s="35">
        <v>5.9370349960260242E-2</v>
      </c>
      <c r="J16" s="35">
        <v>0.16483967330182422</v>
      </c>
      <c r="K16" s="35">
        <v>0.11245975831699515</v>
      </c>
      <c r="L16" s="35">
        <v>0.13334200182378209</v>
      </c>
      <c r="M16" s="35">
        <v>0.1292457914667948</v>
      </c>
      <c r="N16" s="56">
        <f t="shared" si="1"/>
        <v>5101058.2178744627</v>
      </c>
      <c r="O16" s="60"/>
      <c r="P16" s="36">
        <v>16826046.175535437</v>
      </c>
    </row>
    <row r="17" spans="1:19" customFormat="1" x14ac:dyDescent="0.25">
      <c r="A17" s="64" t="s">
        <v>4</v>
      </c>
      <c r="B17" s="66"/>
      <c r="C17" s="50">
        <v>0.28018702205138551</v>
      </c>
      <c r="D17" s="49">
        <f t="shared" si="0"/>
        <v>25802908.979591612</v>
      </c>
      <c r="E17" s="58"/>
      <c r="F17" s="55">
        <v>0.39252976451753341</v>
      </c>
      <c r="G17" s="35">
        <v>0.17048820559237171</v>
      </c>
      <c r="H17" s="35">
        <v>9.4209800341910191E-2</v>
      </c>
      <c r="I17" s="35">
        <v>0.43271044204100206</v>
      </c>
      <c r="J17" s="35">
        <v>0.28967028028846831</v>
      </c>
      <c r="K17" s="35">
        <v>0.23709903029462204</v>
      </c>
      <c r="L17" s="35">
        <v>0.11137106300953124</v>
      </c>
      <c r="M17" s="35">
        <v>0.2712229674297032</v>
      </c>
      <c r="N17" s="56">
        <f t="shared" si="1"/>
        <v>10704597.273010885</v>
      </c>
      <c r="O17" s="60"/>
      <c r="P17" s="36">
        <v>36543785.050288424</v>
      </c>
    </row>
    <row r="18" spans="1:19" customFormat="1" x14ac:dyDescent="0.25">
      <c r="A18" s="64" t="s">
        <v>5</v>
      </c>
      <c r="B18" s="66"/>
      <c r="C18" s="50">
        <v>5.7050271289179985E-2</v>
      </c>
      <c r="D18" s="49">
        <f t="shared" si="0"/>
        <v>5253858.4641002668</v>
      </c>
      <c r="E18" s="58"/>
      <c r="F18" s="55">
        <v>5.3298855178602833E-2</v>
      </c>
      <c r="G18" s="35">
        <v>2.0682791321549116E-2</v>
      </c>
      <c r="H18" s="35">
        <v>7.7719413162732995E-2</v>
      </c>
      <c r="I18" s="35">
        <v>1.3598046539377939E-2</v>
      </c>
      <c r="J18" s="35">
        <v>6.5742756335713054E-2</v>
      </c>
      <c r="K18" s="35">
        <v>6.8210404230332769E-2</v>
      </c>
      <c r="L18" s="35">
        <v>0.13084963910014763</v>
      </c>
      <c r="M18" s="35">
        <v>5.099532929214811E-2</v>
      </c>
      <c r="N18" s="56">
        <f t="shared" si="1"/>
        <v>2012677.8644530007</v>
      </c>
      <c r="O18" s="60"/>
      <c r="P18" s="36">
        <v>7265667.140670646</v>
      </c>
    </row>
    <row r="19" spans="1:19" customFormat="1" x14ac:dyDescent="0.25">
      <c r="A19" s="63" t="s">
        <v>6</v>
      </c>
      <c r="B19" s="65"/>
      <c r="C19" s="48">
        <v>7.3673385004140945E-2</v>
      </c>
      <c r="D19" s="49">
        <f t="shared" si="0"/>
        <v>6784709.8468808541</v>
      </c>
      <c r="E19" s="58"/>
      <c r="F19" s="55">
        <v>2.3129493024790348E-2</v>
      </c>
      <c r="G19" s="35">
        <v>7.7000914848699489E-2</v>
      </c>
      <c r="H19" s="35">
        <v>0.21329553475620486</v>
      </c>
      <c r="I19" s="35">
        <v>2.3644095639763271E-2</v>
      </c>
      <c r="J19" s="35">
        <v>6.3975869454656456E-2</v>
      </c>
      <c r="K19" s="35">
        <v>4.118566040706495E-2</v>
      </c>
      <c r="L19" s="77">
        <v>0.12070391481275011</v>
      </c>
      <c r="M19" s="77">
        <v>7.36155412129538E-2</v>
      </c>
      <c r="N19" s="56">
        <f t="shared" si="1"/>
        <v>2905449.8193396898</v>
      </c>
      <c r="O19" s="60"/>
      <c r="P19" s="36">
        <v>9688648.3735542446</v>
      </c>
    </row>
    <row r="20" spans="1:19" customFormat="1" ht="15.75" thickBot="1" x14ac:dyDescent="0.3">
      <c r="A20" s="92" t="s">
        <v>81</v>
      </c>
      <c r="B20" s="65"/>
      <c r="C20" s="88">
        <v>9.0397206352153162E-2</v>
      </c>
      <c r="D20" s="89">
        <f t="shared" si="0"/>
        <v>8324835.5703148618</v>
      </c>
      <c r="E20" s="58"/>
      <c r="F20" s="76">
        <v>5.1965494481703012E-2</v>
      </c>
      <c r="G20" s="77">
        <v>4.917218253042719E-2</v>
      </c>
      <c r="H20" s="77">
        <v>0.14218300162674613</v>
      </c>
      <c r="I20" s="77">
        <v>0.10163973791079817</v>
      </c>
      <c r="J20" s="77">
        <v>0.13239318815053006</v>
      </c>
      <c r="K20" s="77">
        <v>5.29192268542516E-2</v>
      </c>
      <c r="L20" s="77">
        <v>0.10396170568010775</v>
      </c>
      <c r="M20" s="77">
        <v>8.8101397496324119E-2</v>
      </c>
      <c r="N20" s="78">
        <f t="shared" si="1"/>
        <v>3477175.9498281931</v>
      </c>
      <c r="O20" s="60"/>
      <c r="P20" s="86">
        <v>11795616.099100504</v>
      </c>
    </row>
    <row r="21" spans="1:19" customFormat="1" ht="5.0999999999999996" customHeight="1" thickBot="1" x14ac:dyDescent="0.3">
      <c r="A21" s="91"/>
      <c r="B21" s="66"/>
      <c r="C21" s="91"/>
      <c r="D21" s="91"/>
      <c r="E21" s="66"/>
      <c r="F21" s="82"/>
      <c r="G21" s="83"/>
      <c r="H21" s="84"/>
      <c r="I21" s="84"/>
      <c r="J21" s="84"/>
      <c r="K21" s="84"/>
      <c r="L21" s="84"/>
      <c r="M21" s="84"/>
      <c r="N21" s="83"/>
      <c r="O21" s="85"/>
      <c r="P21" s="83"/>
    </row>
    <row r="22" spans="1:19" s="6" customFormat="1" ht="15.75" thickBot="1" x14ac:dyDescent="0.3">
      <c r="A22" s="93" t="s">
        <v>7</v>
      </c>
      <c r="B22" s="40"/>
      <c r="C22" s="79">
        <f>SUM(C13:C20)</f>
        <v>1.0000000000000002</v>
      </c>
      <c r="D22" s="90">
        <f t="shared" ref="D22:M22" si="2">SUM(D13:D20)</f>
        <v>92091734.980000049</v>
      </c>
      <c r="E22" s="59"/>
      <c r="F22" s="79">
        <f t="shared" si="2"/>
        <v>1.0000000000000004</v>
      </c>
      <c r="G22" s="80">
        <f t="shared" si="2"/>
        <v>1.0000000000000002</v>
      </c>
      <c r="H22" s="80">
        <f t="shared" si="2"/>
        <v>1</v>
      </c>
      <c r="I22" s="80">
        <f t="shared" si="2"/>
        <v>0.99999999999999989</v>
      </c>
      <c r="J22" s="80">
        <f t="shared" si="2"/>
        <v>1</v>
      </c>
      <c r="K22" s="80">
        <f t="shared" si="2"/>
        <v>0.99999999999999978</v>
      </c>
      <c r="L22" s="80">
        <f t="shared" ref="L22" si="3">SUM(L13:L20)</f>
        <v>1</v>
      </c>
      <c r="M22" s="80">
        <f t="shared" si="2"/>
        <v>1</v>
      </c>
      <c r="N22" s="81">
        <f>SUM(N13:N21)</f>
        <v>39467886.419999994</v>
      </c>
      <c r="O22" s="62"/>
      <c r="P22" s="87">
        <f>SUM(P13:P21)</f>
        <v>131559621.39999996</v>
      </c>
    </row>
    <row r="23" spans="1:19" customFormat="1" ht="5.0999999999999996" customHeight="1" x14ac:dyDescent="0.25"/>
    <row r="24" spans="1:19" customFormat="1" ht="15.75" thickBot="1" x14ac:dyDescent="0.3">
      <c r="A24" s="6" t="s">
        <v>122</v>
      </c>
      <c r="B24" s="6"/>
      <c r="C24" s="6"/>
      <c r="D24" s="46"/>
      <c r="E24" s="46"/>
      <c r="F24" s="47"/>
      <c r="G24" s="47"/>
      <c r="H24" s="47"/>
      <c r="I24" s="47"/>
      <c r="J24" s="47"/>
      <c r="K24" s="47"/>
      <c r="L24" s="47"/>
      <c r="M24" s="47"/>
    </row>
    <row r="25" spans="1:19" customFormat="1" ht="50.1" customHeight="1" x14ac:dyDescent="0.25">
      <c r="A25" s="376" t="s">
        <v>30</v>
      </c>
      <c r="B25" s="377"/>
      <c r="C25" s="377"/>
      <c r="D25" s="378"/>
      <c r="F25" s="256" t="s">
        <v>77</v>
      </c>
      <c r="G25" s="263" t="s">
        <v>91</v>
      </c>
      <c r="H25" s="68" t="s">
        <v>120</v>
      </c>
      <c r="I25" s="379" t="s">
        <v>116</v>
      </c>
      <c r="J25" s="380"/>
      <c r="S25" s="14"/>
    </row>
    <row r="26" spans="1:19" customFormat="1" x14ac:dyDescent="0.25">
      <c r="A26" s="367" t="s">
        <v>0</v>
      </c>
      <c r="B26" s="368"/>
      <c r="C26" s="368"/>
      <c r="D26" s="369"/>
      <c r="F26" s="260">
        <v>11585218.658325061</v>
      </c>
      <c r="G26" s="264">
        <v>12338060.497441368</v>
      </c>
      <c r="H26" s="298">
        <f t="shared" ref="H26:H33" si="4">P13</f>
        <v>12970447.41421419</v>
      </c>
      <c r="I26" s="70">
        <f t="shared" ref="I26:I33" si="5">H26-G26</f>
        <v>632386.91677282192</v>
      </c>
      <c r="J26" s="71">
        <f t="shared" ref="J26:J33" si="6">I26/G26</f>
        <v>5.1254969685386495E-2</v>
      </c>
      <c r="S26" s="14"/>
    </row>
    <row r="27" spans="1:19" customFormat="1" x14ac:dyDescent="0.25">
      <c r="A27" s="364" t="s">
        <v>1</v>
      </c>
      <c r="B27" s="365"/>
      <c r="C27" s="365"/>
      <c r="D27" s="366"/>
      <c r="F27" s="261">
        <v>12202090.812849306</v>
      </c>
      <c r="G27" s="265">
        <v>13443207.502241399</v>
      </c>
      <c r="H27" s="298">
        <f t="shared" si="4"/>
        <v>14478555.214666009</v>
      </c>
      <c r="I27" s="70">
        <f t="shared" si="5"/>
        <v>1035347.7124246098</v>
      </c>
      <c r="J27" s="71">
        <f t="shared" si="6"/>
        <v>7.7016419798027022E-2</v>
      </c>
      <c r="S27" s="14"/>
    </row>
    <row r="28" spans="1:19" customFormat="1" x14ac:dyDescent="0.25">
      <c r="A28" s="364" t="s">
        <v>2</v>
      </c>
      <c r="B28" s="365"/>
      <c r="C28" s="365"/>
      <c r="D28" s="366"/>
      <c r="F28" s="261">
        <v>17416573.566233147</v>
      </c>
      <c r="G28" s="265">
        <v>19985499.638247393</v>
      </c>
      <c r="H28" s="298">
        <f t="shared" si="4"/>
        <v>21990855.931970511</v>
      </c>
      <c r="I28" s="70">
        <f t="shared" si="5"/>
        <v>2005356.2937231176</v>
      </c>
      <c r="J28" s="71">
        <f t="shared" si="6"/>
        <v>0.10034056340955082</v>
      </c>
      <c r="S28" s="14"/>
    </row>
    <row r="29" spans="1:19" customFormat="1" x14ac:dyDescent="0.25">
      <c r="A29" s="364" t="s">
        <v>3</v>
      </c>
      <c r="B29" s="365"/>
      <c r="C29" s="365"/>
      <c r="D29" s="366"/>
      <c r="F29" s="261">
        <v>14570772.966324095</v>
      </c>
      <c r="G29" s="265">
        <v>15697301.301275548</v>
      </c>
      <c r="H29" s="298">
        <f t="shared" si="4"/>
        <v>16826046.175535437</v>
      </c>
      <c r="I29" s="70">
        <f t="shared" si="5"/>
        <v>1128744.8742598891</v>
      </c>
      <c r="J29" s="71">
        <f t="shared" si="6"/>
        <v>7.1906938179760141E-2</v>
      </c>
      <c r="S29" s="14"/>
    </row>
    <row r="30" spans="1:19" customFormat="1" x14ac:dyDescent="0.25">
      <c r="A30" s="364" t="s">
        <v>4</v>
      </c>
      <c r="B30" s="365"/>
      <c r="C30" s="365"/>
      <c r="D30" s="366"/>
      <c r="F30" s="261">
        <v>29571971.203945421</v>
      </c>
      <c r="G30" s="265">
        <v>34533199.765487954</v>
      </c>
      <c r="H30" s="298">
        <f t="shared" si="4"/>
        <v>36543785.050288424</v>
      </c>
      <c r="I30" s="70">
        <f t="shared" si="5"/>
        <v>2010585.2848004699</v>
      </c>
      <c r="J30" s="71">
        <f t="shared" si="6"/>
        <v>5.8221806796189893E-2</v>
      </c>
      <c r="S30" s="14"/>
    </row>
    <row r="31" spans="1:19" customFormat="1" x14ac:dyDescent="0.25">
      <c r="A31" s="364" t="s">
        <v>5</v>
      </c>
      <c r="B31" s="365"/>
      <c r="C31" s="365"/>
      <c r="D31" s="366"/>
      <c r="F31" s="261">
        <v>6481115.123121595</v>
      </c>
      <c r="G31" s="265">
        <v>7031476.3356284872</v>
      </c>
      <c r="H31" s="298">
        <f t="shared" si="4"/>
        <v>7265667.140670646</v>
      </c>
      <c r="I31" s="70">
        <f t="shared" si="5"/>
        <v>234190.80504215881</v>
      </c>
      <c r="J31" s="71">
        <f t="shared" si="6"/>
        <v>3.3306064596351423E-2</v>
      </c>
      <c r="S31" s="14"/>
    </row>
    <row r="32" spans="1:19" customFormat="1" x14ac:dyDescent="0.25">
      <c r="A32" s="367" t="s">
        <v>6</v>
      </c>
      <c r="B32" s="368"/>
      <c r="C32" s="368"/>
      <c r="D32" s="369"/>
      <c r="F32" s="260">
        <v>8325993.8598374473</v>
      </c>
      <c r="G32" s="264">
        <v>9080283.9586235676</v>
      </c>
      <c r="H32" s="298">
        <f t="shared" si="4"/>
        <v>9688648.3735542446</v>
      </c>
      <c r="I32" s="70">
        <f t="shared" si="5"/>
        <v>608364.41493067704</v>
      </c>
      <c r="J32" s="71">
        <f t="shared" si="6"/>
        <v>6.699839098676115E-2</v>
      </c>
      <c r="S32" s="14"/>
    </row>
    <row r="33" spans="1:21" customFormat="1" ht="15.75" thickBot="1" x14ac:dyDescent="0.3">
      <c r="A33" s="370" t="s">
        <v>81</v>
      </c>
      <c r="B33" s="371"/>
      <c r="C33" s="371"/>
      <c r="D33" s="372"/>
      <c r="F33" s="262">
        <v>10047933.909363931</v>
      </c>
      <c r="G33" s="266">
        <v>11141503.851054279</v>
      </c>
      <c r="H33" s="299">
        <f t="shared" si="4"/>
        <v>11795616.099100504</v>
      </c>
      <c r="I33" s="72">
        <f t="shared" si="5"/>
        <v>654112.24804622494</v>
      </c>
      <c r="J33" s="73">
        <f t="shared" si="6"/>
        <v>5.8709511461895576E-2</v>
      </c>
      <c r="S33" s="14"/>
    </row>
    <row r="34" spans="1:21" customFormat="1" ht="5.0999999999999996" customHeight="1" thickBot="1" x14ac:dyDescent="0.3">
      <c r="A34" s="66"/>
      <c r="B34" s="66"/>
      <c r="C34" s="269"/>
      <c r="D34" s="269"/>
      <c r="F34" s="96"/>
      <c r="G34" s="267"/>
      <c r="H34" s="91"/>
      <c r="J34" s="69"/>
      <c r="S34" s="14"/>
    </row>
    <row r="35" spans="1:21" s="6" customFormat="1" ht="15.75" thickBot="1" x14ac:dyDescent="0.3">
      <c r="A35" s="373" t="s">
        <v>7</v>
      </c>
      <c r="B35" s="374"/>
      <c r="C35" s="374"/>
      <c r="D35" s="375"/>
      <c r="F35" s="94">
        <f>SUM(F26:F33)</f>
        <v>110201670.09999999</v>
      </c>
      <c r="G35" s="268">
        <f>SUM(G26:G33)</f>
        <v>123250532.85000001</v>
      </c>
      <c r="H35" s="95">
        <f>SUM(H26:H33)</f>
        <v>131559621.39999996</v>
      </c>
      <c r="I35" s="74">
        <f>H35-G35</f>
        <v>8309088.5499999523</v>
      </c>
      <c r="J35" s="75">
        <f>I35/G35</f>
        <v>6.7416248496973141E-2</v>
      </c>
      <c r="S35" s="37"/>
    </row>
    <row r="36" spans="1:21" customFormat="1" ht="5.0999999999999996" customHeight="1" x14ac:dyDescent="0.25">
      <c r="U36" s="14"/>
    </row>
    <row r="37" spans="1:21" customFormat="1" ht="15.75" thickBot="1" x14ac:dyDescent="0.3">
      <c r="A37" s="6" t="s">
        <v>70</v>
      </c>
      <c r="U37" s="14"/>
    </row>
    <row r="38" spans="1:21" ht="50.1" customHeight="1" thickBot="1" x14ac:dyDescent="0.3">
      <c r="A38" s="376" t="s">
        <v>30</v>
      </c>
      <c r="B38" s="377"/>
      <c r="C38" s="377"/>
      <c r="D38" s="378"/>
      <c r="F38" s="285" t="s">
        <v>78</v>
      </c>
      <c r="G38" s="286" t="s">
        <v>92</v>
      </c>
      <c r="H38" s="287" t="s">
        <v>121</v>
      </c>
    </row>
    <row r="39" spans="1:21" x14ac:dyDescent="0.25">
      <c r="A39" s="367" t="s">
        <v>0</v>
      </c>
      <c r="B39" s="368"/>
      <c r="C39" s="368"/>
      <c r="D39" s="369"/>
      <c r="F39" s="288">
        <v>0.1051274327132458</v>
      </c>
      <c r="G39" s="289">
        <v>0.10010553473596091</v>
      </c>
      <c r="H39" s="300">
        <f t="shared" ref="H39" si="7">H26/H$35</f>
        <v>9.8589880969467386E-2</v>
      </c>
    </row>
    <row r="40" spans="1:21" x14ac:dyDescent="0.25">
      <c r="A40" s="364" t="s">
        <v>1</v>
      </c>
      <c r="B40" s="365"/>
      <c r="C40" s="365"/>
      <c r="D40" s="366"/>
      <c r="F40" s="48">
        <v>0.11072509882814659</v>
      </c>
      <c r="G40" s="282">
        <v>0.10907220594820656</v>
      </c>
      <c r="H40" s="301">
        <f t="shared" ref="F40:H48" si="8">H27/H$35</f>
        <v>0.11005318395258025</v>
      </c>
    </row>
    <row r="41" spans="1:21" x14ac:dyDescent="0.25">
      <c r="A41" s="364" t="s">
        <v>2</v>
      </c>
      <c r="B41" s="365"/>
      <c r="C41" s="365"/>
      <c r="D41" s="366"/>
      <c r="F41" s="48">
        <v>0.1580427370150459</v>
      </c>
      <c r="G41" s="282">
        <v>0.16215345423756025</v>
      </c>
      <c r="H41" s="301">
        <f t="shared" si="8"/>
        <v>0.16715505637636713</v>
      </c>
    </row>
    <row r="42" spans="1:21" x14ac:dyDescent="0.25">
      <c r="A42" s="364" t="s">
        <v>3</v>
      </c>
      <c r="B42" s="365"/>
      <c r="C42" s="365"/>
      <c r="D42" s="366"/>
      <c r="F42" s="48">
        <v>0.13221916648905754</v>
      </c>
      <c r="G42" s="282">
        <v>0.12736092038141275</v>
      </c>
      <c r="H42" s="301">
        <f t="shared" si="8"/>
        <v>0.1278967360690158</v>
      </c>
    </row>
    <row r="43" spans="1:21" x14ac:dyDescent="0.25">
      <c r="A43" s="364" t="s">
        <v>4</v>
      </c>
      <c r="B43" s="365"/>
      <c r="C43" s="365"/>
      <c r="D43" s="366"/>
      <c r="F43" s="48">
        <v>0.26834412924151702</v>
      </c>
      <c r="G43" s="282">
        <v>0.2801870220513854</v>
      </c>
      <c r="H43" s="301">
        <f t="shared" si="8"/>
        <v>0.27777356503010153</v>
      </c>
    </row>
    <row r="44" spans="1:21" x14ac:dyDescent="0.25">
      <c r="A44" s="364" t="s">
        <v>5</v>
      </c>
      <c r="B44" s="365"/>
      <c r="C44" s="365"/>
      <c r="D44" s="366"/>
      <c r="F44" s="48">
        <v>5.8811405646034716E-2</v>
      </c>
      <c r="G44" s="282">
        <v>5.7050271289179964E-2</v>
      </c>
      <c r="H44" s="301">
        <f t="shared" si="8"/>
        <v>5.5227181891773426E-2</v>
      </c>
    </row>
    <row r="45" spans="1:21" x14ac:dyDescent="0.25">
      <c r="A45" s="367" t="s">
        <v>6</v>
      </c>
      <c r="B45" s="368"/>
      <c r="C45" s="368"/>
      <c r="D45" s="369"/>
      <c r="F45" s="48">
        <v>7.5552338292897134E-2</v>
      </c>
      <c r="G45" s="282">
        <v>7.3673385004140918E-2</v>
      </c>
      <c r="H45" s="301">
        <f t="shared" si="8"/>
        <v>7.3644544355265587E-2</v>
      </c>
    </row>
    <row r="46" spans="1:21" ht="15.75" thickBot="1" x14ac:dyDescent="0.3">
      <c r="A46" s="370" t="s">
        <v>81</v>
      </c>
      <c r="B46" s="371"/>
      <c r="C46" s="371"/>
      <c r="D46" s="372"/>
      <c r="F46" s="290">
        <v>9.1177691774055353E-2</v>
      </c>
      <c r="G46" s="291">
        <v>9.0397206352153134E-2</v>
      </c>
      <c r="H46" s="302">
        <f t="shared" si="8"/>
        <v>8.9659851355428935E-2</v>
      </c>
    </row>
    <row r="47" spans="1:21" ht="5.0999999999999996" customHeight="1" thickBot="1" x14ac:dyDescent="0.3">
      <c r="A47" s="66"/>
      <c r="B47" s="66"/>
      <c r="C47" s="269"/>
      <c r="D47" s="269"/>
      <c r="F47" s="323"/>
      <c r="G47" s="324"/>
      <c r="H47" s="325"/>
    </row>
    <row r="48" spans="1:21" ht="15.75" thickBot="1" x14ac:dyDescent="0.3">
      <c r="A48" s="373" t="s">
        <v>7</v>
      </c>
      <c r="B48" s="374"/>
      <c r="C48" s="374"/>
      <c r="D48" s="375"/>
      <c r="F48" s="317">
        <f t="shared" si="8"/>
        <v>1</v>
      </c>
      <c r="G48" s="318">
        <f t="shared" si="8"/>
        <v>1</v>
      </c>
      <c r="H48" s="319">
        <f t="shared" si="8"/>
        <v>1</v>
      </c>
    </row>
  </sheetData>
  <mergeCells count="27">
    <mergeCell ref="P11:P12"/>
    <mergeCell ref="N11:N12"/>
    <mergeCell ref="A11:A12"/>
    <mergeCell ref="M11:M12"/>
    <mergeCell ref="C11:C12"/>
    <mergeCell ref="D11:D12"/>
    <mergeCell ref="A26:D26"/>
    <mergeCell ref="A27:D27"/>
    <mergeCell ref="A28:D28"/>
    <mergeCell ref="A29:D29"/>
    <mergeCell ref="I25:J25"/>
    <mergeCell ref="A25:D25"/>
    <mergeCell ref="A30:D30"/>
    <mergeCell ref="A31:D31"/>
    <mergeCell ref="A32:D32"/>
    <mergeCell ref="A33:D33"/>
    <mergeCell ref="A35:D35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8:D48"/>
  </mergeCells>
  <pageMargins left="0.7" right="0.7" top="0.78740157499999996" bottom="0.78740157499999996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  <pageSetUpPr fitToPage="1"/>
  </sheetPr>
  <dimension ref="A1:I42"/>
  <sheetViews>
    <sheetView zoomScaleNormal="100" workbookViewId="0">
      <selection activeCell="B7" sqref="B7:D7"/>
    </sheetView>
  </sheetViews>
  <sheetFormatPr defaultRowHeight="15" x14ac:dyDescent="0.25"/>
  <cols>
    <col min="1" max="1" width="34.28515625" customWidth="1"/>
    <col min="2" max="2" width="7.140625" bestFit="1" customWidth="1"/>
    <col min="3" max="3" width="0.85546875" customWidth="1"/>
    <col min="4" max="4" width="15.7109375" customWidth="1"/>
    <col min="5" max="6" width="15.7109375" style="12" customWidth="1"/>
    <col min="7" max="7" width="0.85546875" customWidth="1"/>
    <col min="8" max="9" width="15.7109375" customWidth="1"/>
  </cols>
  <sheetData>
    <row r="1" spans="1:6" ht="15.75" x14ac:dyDescent="0.25">
      <c r="A1" s="7" t="s">
        <v>106</v>
      </c>
      <c r="B1" s="6"/>
      <c r="C1" s="6"/>
    </row>
    <row r="2" spans="1:6" ht="5.0999999999999996" customHeight="1" thickBot="1" x14ac:dyDescent="0.3"/>
    <row r="3" spans="1:6" x14ac:dyDescent="0.25">
      <c r="A3" s="112" t="s">
        <v>128</v>
      </c>
      <c r="B3" s="399">
        <f>'1.1 Objemy A JU'!C7</f>
        <v>539733891.10000002</v>
      </c>
      <c r="C3" s="400"/>
      <c r="D3" s="401"/>
    </row>
    <row r="4" spans="1:6" x14ac:dyDescent="0.25">
      <c r="A4" s="113" t="s">
        <v>129</v>
      </c>
      <c r="B4" s="402">
        <f>'1.2 Objemy K JU'!C7</f>
        <v>131559621.40000001</v>
      </c>
      <c r="C4" s="403"/>
      <c r="D4" s="404"/>
    </row>
    <row r="5" spans="1:6" x14ac:dyDescent="0.25">
      <c r="A5" s="111" t="s">
        <v>45</v>
      </c>
      <c r="B5" s="405">
        <f>SUM(B3:B4)</f>
        <v>671293512.5</v>
      </c>
      <c r="C5" s="406"/>
      <c r="D5" s="407"/>
    </row>
    <row r="6" spans="1:6" x14ac:dyDescent="0.25">
      <c r="A6" s="113" t="s">
        <v>46</v>
      </c>
      <c r="B6" s="402">
        <f>'1.1 Objemy A JU'!C8+'1.2 Objemy K JU'!C6</f>
        <v>35331237.499999978</v>
      </c>
      <c r="C6" s="403"/>
      <c r="D6" s="404"/>
    </row>
    <row r="7" spans="1:6" ht="15.75" thickBot="1" x14ac:dyDescent="0.3">
      <c r="A7" s="114" t="s">
        <v>47</v>
      </c>
      <c r="B7" s="408">
        <f>'1.1 Objemy A JU'!C6+'1.2 Objemy K JU'!C3</f>
        <v>706624750</v>
      </c>
      <c r="C7" s="409"/>
      <c r="D7" s="410"/>
    </row>
    <row r="8" spans="1:6" ht="5.0999999999999996" customHeight="1" thickBot="1" x14ac:dyDescent="0.3"/>
    <row r="9" spans="1:6" ht="30" x14ac:dyDescent="0.25">
      <c r="A9" s="395" t="s">
        <v>30</v>
      </c>
      <c r="B9" s="396"/>
      <c r="C9" s="129"/>
      <c r="D9" s="97" t="s">
        <v>123</v>
      </c>
      <c r="E9" s="115" t="s">
        <v>124</v>
      </c>
      <c r="F9" s="116" t="s">
        <v>125</v>
      </c>
    </row>
    <row r="10" spans="1:6" x14ac:dyDescent="0.25">
      <c r="A10" s="100" t="s">
        <v>0</v>
      </c>
      <c r="B10" s="123" t="s">
        <v>11</v>
      </c>
      <c r="C10" s="127"/>
      <c r="D10" s="70">
        <f>'1.1 Objemy A JU'!G13</f>
        <v>55402548.423873678</v>
      </c>
      <c r="E10" s="11">
        <f>'1.2 Objemy K JU'!P13</f>
        <v>12970447.41421419</v>
      </c>
      <c r="F10" s="117">
        <f>SUM(D10:E10)</f>
        <v>68372995.838087872</v>
      </c>
    </row>
    <row r="11" spans="1:6" x14ac:dyDescent="0.25">
      <c r="A11" s="101" t="s">
        <v>1</v>
      </c>
      <c r="B11" s="124" t="s">
        <v>12</v>
      </c>
      <c r="C11" s="128"/>
      <c r="D11" s="70">
        <f>'1.1 Objemy A JU'!G14</f>
        <v>34172512.14817746</v>
      </c>
      <c r="E11" s="11">
        <f>'1.2 Objemy K JU'!P14</f>
        <v>14478555.214666009</v>
      </c>
      <c r="F11" s="117">
        <f t="shared" ref="F11:F17" si="0">SUM(D11:E11)</f>
        <v>48651067.362843469</v>
      </c>
    </row>
    <row r="12" spans="1:6" x14ac:dyDescent="0.25">
      <c r="A12" s="100" t="s">
        <v>2</v>
      </c>
      <c r="B12" s="123" t="s">
        <v>13</v>
      </c>
      <c r="C12" s="127"/>
      <c r="D12" s="70">
        <f>'1.1 Objemy A JU'!G15</f>
        <v>20611313.495901156</v>
      </c>
      <c r="E12" s="11">
        <f>'1.2 Objemy K JU'!P15</f>
        <v>21990855.931970511</v>
      </c>
      <c r="F12" s="117">
        <f t="shared" si="0"/>
        <v>42602169.427871667</v>
      </c>
    </row>
    <row r="13" spans="1:6" x14ac:dyDescent="0.25">
      <c r="A13" s="100" t="s">
        <v>3</v>
      </c>
      <c r="B13" s="123" t="s">
        <v>14</v>
      </c>
      <c r="C13" s="127"/>
      <c r="D13" s="70">
        <f>'1.1 Objemy A JU'!G16</f>
        <v>110393051.60223056</v>
      </c>
      <c r="E13" s="11">
        <f>'1.2 Objemy K JU'!P16</f>
        <v>16826046.175535437</v>
      </c>
      <c r="F13" s="117">
        <f t="shared" si="0"/>
        <v>127219097.777766</v>
      </c>
    </row>
    <row r="14" spans="1:6" x14ac:dyDescent="0.25">
      <c r="A14" s="100" t="s">
        <v>4</v>
      </c>
      <c r="B14" s="123" t="s">
        <v>48</v>
      </c>
      <c r="C14" s="127"/>
      <c r="D14" s="70">
        <f>'1.1 Objemy A JU'!G17</f>
        <v>90142338.999052167</v>
      </c>
      <c r="E14" s="11">
        <f>'1.2 Objemy K JU'!P17</f>
        <v>36543785.050288424</v>
      </c>
      <c r="F14" s="117">
        <f t="shared" si="0"/>
        <v>126686124.04934059</v>
      </c>
    </row>
    <row r="15" spans="1:6" x14ac:dyDescent="0.25">
      <c r="A15" s="100" t="s">
        <v>5</v>
      </c>
      <c r="B15" s="123" t="s">
        <v>15</v>
      </c>
      <c r="C15" s="127"/>
      <c r="D15" s="70">
        <f>'1.1 Objemy A JU'!G18</f>
        <v>28799011.95608924</v>
      </c>
      <c r="E15" s="11">
        <f>'1.2 Objemy K JU'!P18</f>
        <v>7265667.140670646</v>
      </c>
      <c r="F15" s="117">
        <f t="shared" si="0"/>
        <v>36064679.096759886</v>
      </c>
    </row>
    <row r="16" spans="1:6" x14ac:dyDescent="0.25">
      <c r="A16" s="101" t="s">
        <v>6</v>
      </c>
      <c r="B16" s="124" t="s">
        <v>17</v>
      </c>
      <c r="C16" s="128"/>
      <c r="D16" s="70">
        <f>'1.1 Objemy A JU'!G19</f>
        <v>119838074.3846931</v>
      </c>
      <c r="E16" s="11">
        <f>'1.2 Objemy K JU'!P19</f>
        <v>9688648.3735542446</v>
      </c>
      <c r="F16" s="117">
        <f t="shared" si="0"/>
        <v>129526722.75824735</v>
      </c>
    </row>
    <row r="17" spans="1:9" x14ac:dyDescent="0.25">
      <c r="A17" s="326" t="s">
        <v>81</v>
      </c>
      <c r="B17" s="124" t="s">
        <v>82</v>
      </c>
      <c r="C17" s="128"/>
      <c r="D17" s="70">
        <f>'1.1 Objemy A JU'!G20</f>
        <v>80375040.089982614</v>
      </c>
      <c r="E17" s="11">
        <f>'1.2 Objemy K JU'!P20</f>
        <v>11795616.099100504</v>
      </c>
      <c r="F17" s="117">
        <f t="shared" si="0"/>
        <v>92170656.189083114</v>
      </c>
    </row>
    <row r="18" spans="1:9" ht="15.75" thickBot="1" x14ac:dyDescent="0.3">
      <c r="A18" s="397" t="s">
        <v>7</v>
      </c>
      <c r="B18" s="398"/>
      <c r="C18" s="130"/>
      <c r="D18" s="126">
        <f>SUM(D10:D17)</f>
        <v>539733891.0999999</v>
      </c>
      <c r="E18" s="119">
        <f>SUM(E10:E17)</f>
        <v>131559621.39999996</v>
      </c>
      <c r="F18" s="120">
        <f>SUM(F10:F17)</f>
        <v>671293512.5</v>
      </c>
    </row>
    <row r="19" spans="1:9" ht="5.0999999999999996" customHeight="1" x14ac:dyDescent="0.25"/>
    <row r="20" spans="1:9" ht="15" customHeight="1" thickBot="1" x14ac:dyDescent="0.3">
      <c r="A20" s="6" t="s">
        <v>89</v>
      </c>
    </row>
    <row r="21" spans="1:9" ht="30" x14ac:dyDescent="0.25">
      <c r="A21" s="395" t="s">
        <v>30</v>
      </c>
      <c r="B21" s="396"/>
      <c r="C21" s="129"/>
      <c r="D21" s="131" t="s">
        <v>126</v>
      </c>
      <c r="E21" s="98" t="s">
        <v>93</v>
      </c>
      <c r="F21" s="116" t="s">
        <v>127</v>
      </c>
      <c r="H21" s="393" t="s">
        <v>116</v>
      </c>
      <c r="I21" s="394"/>
    </row>
    <row r="22" spans="1:9" x14ac:dyDescent="0.25">
      <c r="A22" s="100" t="s">
        <v>0</v>
      </c>
      <c r="B22" s="123" t="s">
        <v>11</v>
      </c>
      <c r="C22" s="127"/>
      <c r="D22" s="132">
        <f>'1.1 Objemy A JU'!C26+'1.2 Objemy K JU'!F26</f>
        <v>67960708.48125276</v>
      </c>
      <c r="E22" s="22">
        <f>'1.1 Objemy A JU'!D26+'1.2 Objemy K JU'!G26</f>
        <v>67690043.896411315</v>
      </c>
      <c r="F22" s="117">
        <f t="shared" ref="F22:F29" si="1">F10</f>
        <v>68372995.838087872</v>
      </c>
      <c r="H22" s="134">
        <f t="shared" ref="H22:H30" si="2">F22-E22</f>
        <v>682951.94167655706</v>
      </c>
      <c r="I22" s="71">
        <f t="shared" ref="I22:I30" si="3">H22/E22</f>
        <v>1.0089400188921502E-2</v>
      </c>
    </row>
    <row r="23" spans="1:9" x14ac:dyDescent="0.25">
      <c r="A23" s="101" t="s">
        <v>1</v>
      </c>
      <c r="B23" s="124" t="s">
        <v>12</v>
      </c>
      <c r="C23" s="128"/>
      <c r="D23" s="132">
        <f>'1.1 Objemy A JU'!C27+'1.2 Objemy K JU'!F27</f>
        <v>44477805.210256457</v>
      </c>
      <c r="E23" s="22">
        <f>'1.1 Objemy A JU'!D27+'1.2 Objemy K JU'!G27</f>
        <v>46156695.80406712</v>
      </c>
      <c r="F23" s="117">
        <f t="shared" si="1"/>
        <v>48651067.362843469</v>
      </c>
      <c r="H23" s="134">
        <f t="shared" si="2"/>
        <v>2494371.5587763488</v>
      </c>
      <c r="I23" s="71">
        <f t="shared" si="3"/>
        <v>5.4041380461132486E-2</v>
      </c>
    </row>
    <row r="24" spans="1:9" x14ac:dyDescent="0.25">
      <c r="A24" s="100" t="s">
        <v>2</v>
      </c>
      <c r="B24" s="123" t="s">
        <v>13</v>
      </c>
      <c r="C24" s="127"/>
      <c r="D24" s="132">
        <f>'1.1 Objemy A JU'!C28+'1.2 Objemy K JU'!F28</f>
        <v>38618308.776337199</v>
      </c>
      <c r="E24" s="22">
        <f>'1.1 Objemy A JU'!D28+'1.2 Objemy K JU'!G28</f>
        <v>40615386.577564642</v>
      </c>
      <c r="F24" s="117">
        <f t="shared" si="1"/>
        <v>42602169.427871667</v>
      </c>
      <c r="H24" s="134">
        <f t="shared" si="2"/>
        <v>1986782.850307025</v>
      </c>
      <c r="I24" s="71">
        <f t="shared" si="3"/>
        <v>4.8916999632954261E-2</v>
      </c>
    </row>
    <row r="25" spans="1:9" x14ac:dyDescent="0.25">
      <c r="A25" s="100" t="s">
        <v>3</v>
      </c>
      <c r="B25" s="123" t="s">
        <v>14</v>
      </c>
      <c r="C25" s="127"/>
      <c r="D25" s="132">
        <f>'1.1 Objemy A JU'!C29+'1.2 Objemy K JU'!F29</f>
        <v>124159119.92852998</v>
      </c>
      <c r="E25" s="22">
        <f>'1.1 Objemy A JU'!D29+'1.2 Objemy K JU'!G29</f>
        <v>124360113.47519515</v>
      </c>
      <c r="F25" s="117">
        <f t="shared" si="1"/>
        <v>127219097.777766</v>
      </c>
      <c r="H25" s="134">
        <f t="shared" si="2"/>
        <v>2858984.3025708497</v>
      </c>
      <c r="I25" s="71">
        <f t="shared" si="3"/>
        <v>2.2989560098311605E-2</v>
      </c>
    </row>
    <row r="26" spans="1:9" x14ac:dyDescent="0.25">
      <c r="A26" s="100" t="s">
        <v>4</v>
      </c>
      <c r="B26" s="123" t="s">
        <v>48</v>
      </c>
      <c r="C26" s="127"/>
      <c r="D26" s="132">
        <f>'1.1 Objemy A JU'!C30+'1.2 Objemy K JU'!F30</f>
        <v>115513857.97601795</v>
      </c>
      <c r="E26" s="22">
        <f>'1.1 Objemy A JU'!D30+'1.2 Objemy K JU'!G30</f>
        <v>121370963.32134417</v>
      </c>
      <c r="F26" s="117">
        <f t="shared" si="1"/>
        <v>126686124.04934059</v>
      </c>
      <c r="H26" s="134">
        <f t="shared" si="2"/>
        <v>5315160.7279964238</v>
      </c>
      <c r="I26" s="71">
        <f t="shared" si="3"/>
        <v>4.379268799180492E-2</v>
      </c>
    </row>
    <row r="27" spans="1:9" x14ac:dyDescent="0.25">
      <c r="A27" s="100" t="s">
        <v>5</v>
      </c>
      <c r="B27" s="123" t="s">
        <v>15</v>
      </c>
      <c r="C27" s="127"/>
      <c r="D27" s="132">
        <f>'1.1 Objemy A JU'!C31+'1.2 Objemy K JU'!F31</f>
        <v>34246733.562966913</v>
      </c>
      <c r="E27" s="22">
        <f>'1.1 Objemy A JU'!D31+'1.2 Objemy K JU'!G31</f>
        <v>34955854.936523601</v>
      </c>
      <c r="F27" s="117">
        <f t="shared" si="1"/>
        <v>36064679.096759886</v>
      </c>
      <c r="H27" s="134">
        <f t="shared" si="2"/>
        <v>1108824.1602362841</v>
      </c>
      <c r="I27" s="71">
        <f t="shared" si="3"/>
        <v>3.1720699214761013E-2</v>
      </c>
    </row>
    <row r="28" spans="1:9" x14ac:dyDescent="0.25">
      <c r="A28" s="101" t="s">
        <v>6</v>
      </c>
      <c r="B28" s="124" t="s">
        <v>17</v>
      </c>
      <c r="C28" s="128"/>
      <c r="D28" s="132">
        <f>'1.1 Objemy A JU'!C32+'1.2 Objemy K JU'!F32</f>
        <v>125228963.15772466</v>
      </c>
      <c r="E28" s="22">
        <f>'1.1 Objemy A JU'!D32+'1.2 Objemy K JU'!G32</f>
        <v>126114194.75166577</v>
      </c>
      <c r="F28" s="117">
        <f t="shared" si="1"/>
        <v>129526722.75824735</v>
      </c>
      <c r="H28" s="134">
        <f t="shared" si="2"/>
        <v>3412528.0065815747</v>
      </c>
      <c r="I28" s="71">
        <f t="shared" si="3"/>
        <v>2.7059031802893072E-2</v>
      </c>
    </row>
    <row r="29" spans="1:9" x14ac:dyDescent="0.25">
      <c r="A29" s="326" t="s">
        <v>81</v>
      </c>
      <c r="B29" s="124" t="s">
        <v>82</v>
      </c>
      <c r="C29" s="128"/>
      <c r="D29" s="132">
        <f>'1.1 Objemy A JU'!C33+'1.2 Objemy K JU'!F33</f>
        <v>86112667.206913978</v>
      </c>
      <c r="E29" s="22">
        <f>'1.1 Objemy A JU'!D33+'1.2 Objemy K JU'!G33</f>
        <v>88103774.287228197</v>
      </c>
      <c r="F29" s="117">
        <f t="shared" si="1"/>
        <v>92170656.189083114</v>
      </c>
      <c r="H29" s="134">
        <f t="shared" si="2"/>
        <v>4066881.9018549174</v>
      </c>
      <c r="I29" s="71">
        <f t="shared" si="3"/>
        <v>4.6160132579524074E-2</v>
      </c>
    </row>
    <row r="30" spans="1:9" ht="15.75" thickBot="1" x14ac:dyDescent="0.3">
      <c r="A30" s="397" t="s">
        <v>7</v>
      </c>
      <c r="B30" s="398"/>
      <c r="C30" s="130"/>
      <c r="D30" s="133">
        <f>SUM(D22:D29)</f>
        <v>636318164.29999983</v>
      </c>
      <c r="E30" s="121">
        <f>SUM(E22:E29)</f>
        <v>649367027.05000007</v>
      </c>
      <c r="F30" s="120">
        <f>SUM(F22:F29)</f>
        <v>671293512.5</v>
      </c>
      <c r="H30" s="135">
        <f t="shared" si="2"/>
        <v>21926485.449999928</v>
      </c>
      <c r="I30" s="122">
        <f t="shared" si="3"/>
        <v>3.3765935960144815E-2</v>
      </c>
    </row>
    <row r="31" spans="1:9" ht="5.0999999999999996" customHeight="1" x14ac:dyDescent="0.25"/>
    <row r="32" spans="1:9" ht="15" customHeight="1" thickBot="1" x14ac:dyDescent="0.3">
      <c r="A32" s="6" t="s">
        <v>72</v>
      </c>
    </row>
    <row r="33" spans="1:6" ht="45" x14ac:dyDescent="0.25">
      <c r="A33" s="395" t="s">
        <v>30</v>
      </c>
      <c r="B33" s="396"/>
      <c r="C33" s="129"/>
      <c r="D33" s="131" t="s">
        <v>80</v>
      </c>
      <c r="E33" s="98" t="s">
        <v>94</v>
      </c>
      <c r="F33" s="116" t="s">
        <v>130</v>
      </c>
    </row>
    <row r="34" spans="1:6" x14ac:dyDescent="0.25">
      <c r="A34" s="100" t="s">
        <v>0</v>
      </c>
      <c r="B34" s="123" t="s">
        <v>11</v>
      </c>
      <c r="C34" s="127"/>
      <c r="D34" s="211">
        <f>D22/D$30</f>
        <v>0.10680303077001566</v>
      </c>
      <c r="E34" s="44">
        <f t="shared" ref="E34:F34" si="4">E22/E$30</f>
        <v>0.10424003849397685</v>
      </c>
      <c r="F34" s="307">
        <f t="shared" si="4"/>
        <v>0.10185260927586853</v>
      </c>
    </row>
    <row r="35" spans="1:6" x14ac:dyDescent="0.25">
      <c r="A35" s="101" t="s">
        <v>1</v>
      </c>
      <c r="B35" s="124" t="s">
        <v>12</v>
      </c>
      <c r="C35" s="128"/>
      <c r="D35" s="211">
        <f t="shared" ref="D35:F42" si="5">D23/D$30</f>
        <v>6.9898688589513314E-2</v>
      </c>
      <c r="E35" s="44">
        <f t="shared" si="5"/>
        <v>7.1079518795020585E-2</v>
      </c>
      <c r="F35" s="307">
        <f t="shared" si="5"/>
        <v>7.2473614681094464E-2</v>
      </c>
    </row>
    <row r="36" spans="1:6" x14ac:dyDescent="0.25">
      <c r="A36" s="100" t="s">
        <v>2</v>
      </c>
      <c r="B36" s="123" t="s">
        <v>13</v>
      </c>
      <c r="C36" s="127"/>
      <c r="D36" s="211">
        <f t="shared" si="5"/>
        <v>6.0690250479994365E-2</v>
      </c>
      <c r="E36" s="44">
        <f t="shared" si="5"/>
        <v>6.254611781271939E-2</v>
      </c>
      <c r="F36" s="307">
        <f t="shared" si="5"/>
        <v>6.346280521796592E-2</v>
      </c>
    </row>
    <row r="37" spans="1:6" x14ac:dyDescent="0.25">
      <c r="A37" s="100" t="s">
        <v>3</v>
      </c>
      <c r="B37" s="123" t="s">
        <v>14</v>
      </c>
      <c r="C37" s="127"/>
      <c r="D37" s="211">
        <f t="shared" si="5"/>
        <v>0.19512113105417131</v>
      </c>
      <c r="E37" s="44">
        <f t="shared" si="5"/>
        <v>0.19150974455871109</v>
      </c>
      <c r="F37" s="307">
        <f t="shared" si="5"/>
        <v>0.18951337292681791</v>
      </c>
    </row>
    <row r="38" spans="1:6" x14ac:dyDescent="0.25">
      <c r="A38" s="100" t="s">
        <v>4</v>
      </c>
      <c r="B38" s="123" t="s">
        <v>48</v>
      </c>
      <c r="C38" s="127"/>
      <c r="D38" s="211">
        <f t="shared" si="5"/>
        <v>0.18153474858460517</v>
      </c>
      <c r="E38" s="44">
        <f t="shared" si="5"/>
        <v>0.18690656942148501</v>
      </c>
      <c r="F38" s="307">
        <f t="shared" si="5"/>
        <v>0.1887194225630783</v>
      </c>
    </row>
    <row r="39" spans="1:6" x14ac:dyDescent="0.25">
      <c r="A39" s="100" t="s">
        <v>5</v>
      </c>
      <c r="B39" s="123" t="s">
        <v>15</v>
      </c>
      <c r="C39" s="127"/>
      <c r="D39" s="211">
        <f t="shared" si="5"/>
        <v>5.3820141376352222E-2</v>
      </c>
      <c r="E39" s="44">
        <f t="shared" si="5"/>
        <v>5.3830658903831381E-2</v>
      </c>
      <c r="F39" s="307">
        <f t="shared" si="5"/>
        <v>5.3724158546459788E-2</v>
      </c>
    </row>
    <row r="40" spans="1:6" x14ac:dyDescent="0.25">
      <c r="A40" s="101" t="s">
        <v>6</v>
      </c>
      <c r="B40" s="124" t="s">
        <v>17</v>
      </c>
      <c r="C40" s="128"/>
      <c r="D40" s="211">
        <f t="shared" si="5"/>
        <v>0.19680243341078657</v>
      </c>
      <c r="E40" s="44">
        <f t="shared" si="5"/>
        <v>0.19421096159530626</v>
      </c>
      <c r="F40" s="307">
        <f t="shared" si="5"/>
        <v>0.19295095267027082</v>
      </c>
    </row>
    <row r="41" spans="1:6" x14ac:dyDescent="0.25">
      <c r="A41" s="326" t="s">
        <v>81</v>
      </c>
      <c r="B41" s="124" t="s">
        <v>82</v>
      </c>
      <c r="C41" s="128"/>
      <c r="D41" s="211">
        <f t="shared" si="5"/>
        <v>0.1353295757345615</v>
      </c>
      <c r="E41" s="44">
        <f t="shared" si="5"/>
        <v>0.13567639041894927</v>
      </c>
      <c r="F41" s="307">
        <f t="shared" si="5"/>
        <v>0.13730306411844417</v>
      </c>
    </row>
    <row r="42" spans="1:6" ht="15.75" thickBot="1" x14ac:dyDescent="0.3">
      <c r="A42" s="118" t="s">
        <v>7</v>
      </c>
      <c r="B42" s="125"/>
      <c r="C42" s="130"/>
      <c r="D42" s="295">
        <f t="shared" si="5"/>
        <v>1</v>
      </c>
      <c r="E42" s="296">
        <f t="shared" si="5"/>
        <v>1</v>
      </c>
      <c r="F42" s="297">
        <f t="shared" si="5"/>
        <v>1</v>
      </c>
    </row>
  </sheetData>
  <mergeCells count="11">
    <mergeCell ref="A9:B9"/>
    <mergeCell ref="B3:D3"/>
    <mergeCell ref="B4:D4"/>
    <mergeCell ref="B5:D5"/>
    <mergeCell ref="B6:D6"/>
    <mergeCell ref="B7:D7"/>
    <mergeCell ref="H21:I21"/>
    <mergeCell ref="A33:B33"/>
    <mergeCell ref="A30:B30"/>
    <mergeCell ref="A21:B21"/>
    <mergeCell ref="A18:B18"/>
  </mergeCells>
  <pageMargins left="0.7" right="0.7" top="0.78740157499999996" bottom="0.78740157499999996" header="0.3" footer="0.3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69B49-1D72-4B97-916B-6AF65C5B71EA}">
  <sheetPr>
    <tabColor theme="0" tint="-0.249977111117893"/>
  </sheetPr>
  <dimension ref="A1:D15"/>
  <sheetViews>
    <sheetView workbookViewId="0">
      <selection activeCell="F20" sqref="F20"/>
    </sheetView>
  </sheetViews>
  <sheetFormatPr defaultRowHeight="15" x14ac:dyDescent="0.25"/>
  <cols>
    <col min="1" max="1" width="35.28515625" customWidth="1"/>
    <col min="2" max="2" width="0.85546875" customWidth="1"/>
    <col min="3" max="7" width="18.7109375" customWidth="1"/>
  </cols>
  <sheetData>
    <row r="1" spans="1:4" ht="15.75" x14ac:dyDescent="0.25">
      <c r="A1" s="1" t="s">
        <v>131</v>
      </c>
    </row>
    <row r="2" spans="1:4" ht="5.0999999999999996" customHeight="1" thickBot="1" x14ac:dyDescent="0.3"/>
    <row r="3" spans="1:4" ht="15.75" thickBot="1" x14ac:dyDescent="0.3">
      <c r="A3" s="336" t="s">
        <v>100</v>
      </c>
      <c r="B3" s="146"/>
      <c r="C3" s="361">
        <f>800000000*0.0304352683177254</f>
        <v>24348214.654180318</v>
      </c>
      <c r="D3" s="155"/>
    </row>
    <row r="4" spans="1:4" ht="5.0999999999999996" customHeight="1" thickBot="1" x14ac:dyDescent="0.3"/>
    <row r="5" spans="1:4" ht="60" customHeight="1" x14ac:dyDescent="0.25">
      <c r="A5" s="338" t="s">
        <v>30</v>
      </c>
      <c r="C5" s="352" t="s">
        <v>161</v>
      </c>
      <c r="D5" s="353" t="s">
        <v>162</v>
      </c>
    </row>
    <row r="6" spans="1:4" x14ac:dyDescent="0.25">
      <c r="A6" s="63" t="s">
        <v>0</v>
      </c>
      <c r="C6" s="354">
        <f>'1.1 Objemy A JU'!E39*0.5+'1.2 Objemy K JU'!H39*0.5</f>
        <v>0.10061888857974863</v>
      </c>
      <c r="D6" s="355">
        <f>$C$3*C6</f>
        <v>2449890.2974047721</v>
      </c>
    </row>
    <row r="7" spans="1:4" x14ac:dyDescent="0.25">
      <c r="A7" s="64" t="s">
        <v>1</v>
      </c>
      <c r="C7" s="354">
        <f>'1.1 Objemy A JU'!E40*0.5+'1.2 Objemy K JU'!H40*0.5</f>
        <v>8.6683407225127351E-2</v>
      </c>
      <c r="D7" s="355">
        <f t="shared" ref="D7:D13" si="0">$C$3*C7</f>
        <v>2110586.2060731258</v>
      </c>
    </row>
    <row r="8" spans="1:4" x14ac:dyDescent="0.25">
      <c r="A8" s="64" t="s">
        <v>2</v>
      </c>
      <c r="C8" s="354">
        <f>'1.1 Objemy A JU'!E41*0.5+'1.2 Objemy K JU'!H41*0.5</f>
        <v>0.10267148711477093</v>
      </c>
      <c r="D8" s="355">
        <f t="shared" si="0"/>
        <v>2499867.4071343513</v>
      </c>
    </row>
    <row r="9" spans="1:4" x14ac:dyDescent="0.25">
      <c r="A9" s="64" t="s">
        <v>3</v>
      </c>
      <c r="C9" s="354">
        <f>'1.1 Objemy A JU'!E42*0.5+'1.2 Objemy K JU'!H42*0.5</f>
        <v>0.16621455274383287</v>
      </c>
      <c r="D9" s="355">
        <f t="shared" si="0"/>
        <v>4047027.6088554189</v>
      </c>
    </row>
    <row r="10" spans="1:4" x14ac:dyDescent="0.25">
      <c r="A10" s="64" t="s">
        <v>4</v>
      </c>
      <c r="C10" s="354">
        <f>'1.1 Objemy A JU'!E43*0.5+'1.2 Objemy K JU'!H43*0.5</f>
        <v>0.22239306263333125</v>
      </c>
      <c r="D10" s="355">
        <f t="shared" si="0"/>
        <v>5414874.0265969168</v>
      </c>
    </row>
    <row r="11" spans="1:4" x14ac:dyDescent="0.25">
      <c r="A11" s="64" t="s">
        <v>5</v>
      </c>
      <c r="C11" s="354">
        <f>'1.1 Objemy A JU'!E44*0.5+'1.2 Objemy K JU'!H44*0.5</f>
        <v>5.429248996536061E-2</v>
      </c>
      <c r="D11" s="355">
        <f t="shared" si="0"/>
        <v>1321925.199786531</v>
      </c>
    </row>
    <row r="12" spans="1:4" x14ac:dyDescent="0.25">
      <c r="A12" s="63" t="s">
        <v>6</v>
      </c>
      <c r="C12" s="354">
        <f>'1.1 Objemy A JU'!E45*0.5+'1.2 Objemy K JU'!H45*0.5</f>
        <v>0.14783816015574194</v>
      </c>
      <c r="D12" s="355">
        <f t="shared" si="0"/>
        <v>3599595.2575510927</v>
      </c>
    </row>
    <row r="13" spans="1:4" ht="15.75" thickBot="1" x14ac:dyDescent="0.3">
      <c r="A13" s="335" t="s">
        <v>81</v>
      </c>
      <c r="C13" s="356">
        <f>'1.1 Objemy A JU'!E46*0.5+'1.2 Objemy K JU'!H46*0.5</f>
        <v>0.11928795158208649</v>
      </c>
      <c r="D13" s="357">
        <f t="shared" si="0"/>
        <v>2904448.6507781106</v>
      </c>
    </row>
    <row r="14" spans="1:4" ht="5.0999999999999996" customHeight="1" thickBot="1" x14ac:dyDescent="0.3">
      <c r="D14" s="12"/>
    </row>
    <row r="15" spans="1:4" ht="15.75" thickBot="1" x14ac:dyDescent="0.3">
      <c r="A15" s="336" t="s">
        <v>64</v>
      </c>
      <c r="C15" s="337">
        <f>SUM(C6:C13)</f>
        <v>1</v>
      </c>
      <c r="D15" s="334">
        <f>SUM(D6:D13)</f>
        <v>24348214.654180318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V65"/>
  <sheetViews>
    <sheetView topLeftCell="A26" zoomScaleNormal="100" workbookViewId="0">
      <selection activeCell="I44" sqref="I44"/>
    </sheetView>
  </sheetViews>
  <sheetFormatPr defaultRowHeight="15" x14ac:dyDescent="0.25"/>
  <cols>
    <col min="1" max="1" width="32.85546875" customWidth="1"/>
    <col min="2" max="2" width="0.85546875" customWidth="1"/>
    <col min="3" max="3" width="13.140625" customWidth="1"/>
    <col min="4" max="17" width="12.7109375" customWidth="1"/>
    <col min="18" max="18" width="16.140625" bestFit="1" customWidth="1"/>
    <col min="19" max="19" width="0.85546875" customWidth="1"/>
    <col min="20" max="20" width="13.140625" customWidth="1"/>
    <col min="21" max="21" width="0.85546875" customWidth="1"/>
    <col min="22" max="22" width="17.7109375" bestFit="1" customWidth="1"/>
  </cols>
  <sheetData>
    <row r="1" spans="1:11" s="2" customFormat="1" ht="15.75" x14ac:dyDescent="0.25">
      <c r="A1" s="7" t="s">
        <v>107</v>
      </c>
      <c r="B1" s="7"/>
    </row>
    <row r="2" spans="1:11" x14ac:dyDescent="0.25">
      <c r="A2" s="108" t="s">
        <v>95</v>
      </c>
      <c r="B2" s="108"/>
      <c r="C2" s="108"/>
      <c r="D2" s="108"/>
      <c r="E2" s="108"/>
      <c r="F2" s="108"/>
      <c r="G2" s="108"/>
      <c r="H2" s="108"/>
    </row>
    <row r="3" spans="1:11" s="8" customFormat="1" x14ac:dyDescent="0.25">
      <c r="A3" s="8" t="s">
        <v>8</v>
      </c>
      <c r="G3" s="411">
        <v>316046197</v>
      </c>
      <c r="H3" s="411"/>
    </row>
    <row r="4" spans="1:11" s="9" customFormat="1" x14ac:dyDescent="0.25">
      <c r="A4" s="9" t="s">
        <v>51</v>
      </c>
      <c r="G4" s="412">
        <v>11061616.895000001</v>
      </c>
      <c r="H4" s="412"/>
    </row>
    <row r="5" spans="1:11" s="9" customFormat="1" x14ac:dyDescent="0.25">
      <c r="A5" s="9" t="s">
        <v>55</v>
      </c>
      <c r="G5" s="412">
        <v>6320923.9400000004</v>
      </c>
      <c r="H5" s="412"/>
    </row>
    <row r="6" spans="1:11" s="9" customFormat="1" x14ac:dyDescent="0.25">
      <c r="A6" s="9" t="s">
        <v>52</v>
      </c>
      <c r="G6" s="412">
        <v>1580230.9850000001</v>
      </c>
      <c r="H6" s="412"/>
    </row>
    <row r="7" spans="1:11" s="9" customFormat="1" ht="15.75" thickBot="1" x14ac:dyDescent="0.3">
      <c r="A7" s="139" t="s">
        <v>53</v>
      </c>
      <c r="B7" s="139"/>
      <c r="C7" s="139"/>
      <c r="D7" s="139"/>
      <c r="E7" s="139"/>
      <c r="F7" s="139"/>
      <c r="G7" s="414">
        <v>20543002.805</v>
      </c>
      <c r="H7" s="414"/>
    </row>
    <row r="8" spans="1:11" s="9" customFormat="1" ht="15.75" thickTop="1" x14ac:dyDescent="0.25">
      <c r="A8" s="8" t="s">
        <v>50</v>
      </c>
      <c r="B8" s="8"/>
      <c r="C8" s="8"/>
      <c r="D8" s="8"/>
      <c r="E8" s="8"/>
      <c r="F8" s="8"/>
      <c r="G8" s="411">
        <f>G3-G4-G5-G6-G7</f>
        <v>276540422.375</v>
      </c>
      <c r="H8" s="411"/>
    </row>
    <row r="9" spans="1:11" s="9" customFormat="1" ht="5.0999999999999996" customHeight="1" x14ac:dyDescent="0.25">
      <c r="G9" s="15"/>
      <c r="H9" s="15"/>
    </row>
    <row r="10" spans="1:11" s="9" customFormat="1" x14ac:dyDescent="0.25">
      <c r="A10" s="137" t="s">
        <v>132</v>
      </c>
      <c r="B10" s="137"/>
      <c r="C10" s="137"/>
      <c r="D10" s="137"/>
      <c r="E10" s="137"/>
      <c r="F10" s="137"/>
      <c r="G10" s="138"/>
      <c r="H10" s="138"/>
    </row>
    <row r="11" spans="1:11" s="8" customFormat="1" x14ac:dyDescent="0.25">
      <c r="A11" s="8" t="s">
        <v>8</v>
      </c>
      <c r="G11" s="413">
        <v>329782132</v>
      </c>
      <c r="H11" s="413"/>
      <c r="I11" s="16"/>
      <c r="K11" s="19"/>
    </row>
    <row r="12" spans="1:11" s="8" customFormat="1" x14ac:dyDescent="0.25">
      <c r="A12" s="9" t="s">
        <v>51</v>
      </c>
      <c r="B12" s="9"/>
      <c r="G12" s="412">
        <f>G11*0.035</f>
        <v>11542374.620000001</v>
      </c>
      <c r="H12" s="412"/>
      <c r="I12" s="16"/>
      <c r="K12" s="19"/>
    </row>
    <row r="13" spans="1:11" s="8" customFormat="1" x14ac:dyDescent="0.25">
      <c r="A13" s="9" t="s">
        <v>55</v>
      </c>
      <c r="B13" s="9"/>
      <c r="G13" s="412">
        <f>G11*0.02</f>
        <v>6595642.6400000006</v>
      </c>
      <c r="H13" s="412"/>
      <c r="I13" s="16"/>
      <c r="K13" s="19"/>
    </row>
    <row r="14" spans="1:11" s="8" customFormat="1" x14ac:dyDescent="0.25">
      <c r="A14" s="9" t="s">
        <v>52</v>
      </c>
      <c r="B14" s="9"/>
      <c r="G14" s="412">
        <f>G11*0.005</f>
        <v>1648910.6600000001</v>
      </c>
      <c r="H14" s="412"/>
      <c r="I14" s="16"/>
      <c r="K14" s="19"/>
    </row>
    <row r="15" spans="1:11" s="8" customFormat="1" ht="15.75" thickBot="1" x14ac:dyDescent="0.3">
      <c r="A15" s="139" t="s">
        <v>53</v>
      </c>
      <c r="B15" s="139"/>
      <c r="C15" s="140"/>
      <c r="D15" s="140"/>
      <c r="E15" s="140"/>
      <c r="F15" s="140"/>
      <c r="G15" s="414">
        <f>G11*0.065</f>
        <v>21435838.580000002</v>
      </c>
      <c r="H15" s="414"/>
      <c r="I15" s="16"/>
      <c r="K15" s="19"/>
    </row>
    <row r="16" spans="1:11" s="8" customFormat="1" ht="15.75" thickTop="1" x14ac:dyDescent="0.25">
      <c r="A16" s="8" t="s">
        <v>50</v>
      </c>
      <c r="G16" s="411">
        <f>G11-SUM(G12:H15)</f>
        <v>288559365.5</v>
      </c>
      <c r="H16" s="411"/>
      <c r="I16" s="16"/>
      <c r="K16" s="19"/>
    </row>
    <row r="17" spans="1:22" s="8" customFormat="1" x14ac:dyDescent="0.25">
      <c r="A17" s="9" t="s">
        <v>133</v>
      </c>
      <c r="B17" s="9"/>
      <c r="C17" s="141">
        <v>0.54</v>
      </c>
      <c r="G17" s="412">
        <f>C17*$G$11</f>
        <v>178082351.28</v>
      </c>
      <c r="H17" s="412"/>
      <c r="I17" s="16"/>
      <c r="J17" s="180"/>
      <c r="N17" s="19"/>
    </row>
    <row r="18" spans="1:22" s="8" customFormat="1" x14ac:dyDescent="0.25">
      <c r="A18" s="9" t="s">
        <v>54</v>
      </c>
      <c r="B18" s="9"/>
      <c r="C18" s="141">
        <v>0.2</v>
      </c>
      <c r="G18" s="412">
        <f t="shared" ref="G18:G23" si="0">C18*$G$11</f>
        <v>65956426.400000006</v>
      </c>
      <c r="H18" s="412"/>
      <c r="I18" s="16"/>
      <c r="N18" s="19"/>
    </row>
    <row r="19" spans="1:22" s="8" customFormat="1" x14ac:dyDescent="0.25">
      <c r="A19" s="9" t="s">
        <v>134</v>
      </c>
      <c r="B19" s="9"/>
      <c r="C19" s="141">
        <v>0.04</v>
      </c>
      <c r="G19" s="412">
        <f t="shared" si="0"/>
        <v>13191285.280000001</v>
      </c>
      <c r="H19" s="412"/>
      <c r="I19" s="16"/>
      <c r="N19" s="19"/>
    </row>
    <row r="20" spans="1:22" s="8" customFormat="1" x14ac:dyDescent="0.25">
      <c r="A20" s="9" t="s">
        <v>135</v>
      </c>
      <c r="B20" s="9"/>
      <c r="C20" s="141">
        <v>0.04</v>
      </c>
      <c r="G20" s="412">
        <f t="shared" si="0"/>
        <v>13191285.280000001</v>
      </c>
      <c r="H20" s="412"/>
      <c r="I20" s="16"/>
      <c r="N20" s="19"/>
    </row>
    <row r="21" spans="1:22" s="8" customFormat="1" x14ac:dyDescent="0.25">
      <c r="A21" s="9" t="s">
        <v>136</v>
      </c>
      <c r="B21" s="9"/>
      <c r="C21" s="141">
        <v>0.03</v>
      </c>
      <c r="G21" s="412">
        <f t="shared" si="0"/>
        <v>9893463.959999999</v>
      </c>
      <c r="H21" s="412"/>
      <c r="I21" s="16"/>
      <c r="L21" s="12"/>
      <c r="N21" s="19"/>
    </row>
    <row r="22" spans="1:22" s="8" customFormat="1" x14ac:dyDescent="0.25">
      <c r="A22" s="9" t="s">
        <v>137</v>
      </c>
      <c r="B22" s="9"/>
      <c r="C22" s="141">
        <v>0.02</v>
      </c>
      <c r="G22" s="412">
        <f t="shared" si="0"/>
        <v>6595642.6400000006</v>
      </c>
      <c r="H22" s="412"/>
      <c r="I22" s="16"/>
      <c r="J22" s="143"/>
      <c r="K22" s="143"/>
      <c r="L22" s="143"/>
      <c r="M22" s="143"/>
      <c r="N22" s="143"/>
      <c r="O22" s="143"/>
    </row>
    <row r="23" spans="1:22" s="8" customFormat="1" x14ac:dyDescent="0.25">
      <c r="A23" s="9" t="s">
        <v>58</v>
      </c>
      <c r="B23" s="9"/>
      <c r="C23" s="141">
        <v>5.0000000000000001E-3</v>
      </c>
      <c r="G23" s="412">
        <f t="shared" si="0"/>
        <v>1648910.6600000001</v>
      </c>
      <c r="H23" s="412"/>
      <c r="I23" s="16"/>
      <c r="N23" s="19"/>
    </row>
    <row r="24" spans="1:22" ht="5.0999999999999996" customHeight="1" thickBot="1" x14ac:dyDescent="0.3">
      <c r="O24" s="10"/>
    </row>
    <row r="25" spans="1:22" s="24" customFormat="1" ht="50.1" customHeight="1" x14ac:dyDescent="0.25">
      <c r="A25" s="415" t="s">
        <v>56</v>
      </c>
      <c r="B25" s="61"/>
      <c r="C25" s="417" t="s">
        <v>138</v>
      </c>
      <c r="D25" s="419" t="s">
        <v>74</v>
      </c>
      <c r="E25" s="420"/>
      <c r="F25" s="421" t="s">
        <v>141</v>
      </c>
      <c r="G25" s="421" t="s">
        <v>142</v>
      </c>
      <c r="H25" s="423" t="s">
        <v>143</v>
      </c>
      <c r="I25" s="423" t="s">
        <v>144</v>
      </c>
      <c r="J25" s="423" t="s">
        <v>145</v>
      </c>
      <c r="K25" s="423" t="s">
        <v>146</v>
      </c>
      <c r="L25" s="421" t="s">
        <v>61</v>
      </c>
      <c r="M25" s="421" t="s">
        <v>141</v>
      </c>
      <c r="N25" s="421" t="s">
        <v>142</v>
      </c>
      <c r="O25" s="423" t="s">
        <v>143</v>
      </c>
      <c r="P25" s="423" t="s">
        <v>144</v>
      </c>
      <c r="Q25" s="423" t="s">
        <v>145</v>
      </c>
      <c r="R25" s="426" t="s">
        <v>59</v>
      </c>
      <c r="T25" s="415" t="s">
        <v>60</v>
      </c>
      <c r="V25" s="415" t="s">
        <v>147</v>
      </c>
    </row>
    <row r="26" spans="1:22" s="24" customFormat="1" ht="30" customHeight="1" x14ac:dyDescent="0.25">
      <c r="A26" s="416"/>
      <c r="B26" s="61"/>
      <c r="C26" s="418"/>
      <c r="D26" s="43" t="s">
        <v>139</v>
      </c>
      <c r="E26" s="359" t="s">
        <v>140</v>
      </c>
      <c r="F26" s="422"/>
      <c r="G26" s="422"/>
      <c r="H26" s="424"/>
      <c r="I26" s="424"/>
      <c r="J26" s="424"/>
      <c r="K26" s="424"/>
      <c r="L26" s="422"/>
      <c r="M26" s="422"/>
      <c r="N26" s="422"/>
      <c r="O26" s="424"/>
      <c r="P26" s="424"/>
      <c r="Q26" s="424"/>
      <c r="R26" s="427"/>
      <c r="T26" s="416"/>
      <c r="V26" s="416"/>
    </row>
    <row r="27" spans="1:22" x14ac:dyDescent="0.25">
      <c r="A27" s="144" t="s">
        <v>0</v>
      </c>
      <c r="B27" s="146"/>
      <c r="C27" s="148">
        <v>3.3747080613246598E-2</v>
      </c>
      <c r="D27" s="142">
        <v>2.0661715057393653E-2</v>
      </c>
      <c r="E27" s="142">
        <v>0.11579778830963665</v>
      </c>
      <c r="F27" s="142">
        <v>1.3004582723836844E-2</v>
      </c>
      <c r="G27" s="142">
        <v>4.3103448275862072E-2</v>
      </c>
      <c r="H27" s="142">
        <v>5.5214723926380369E-2</v>
      </c>
      <c r="I27" s="142">
        <v>0</v>
      </c>
      <c r="J27" s="142">
        <v>0</v>
      </c>
      <c r="K27" s="11">
        <v>6009759.4644426582</v>
      </c>
      <c r="L27" s="11">
        <v>2621768.3975698682</v>
      </c>
      <c r="M27" s="11">
        <v>171547.16065749127</v>
      </c>
      <c r="N27" s="11">
        <v>568589.88275862078</v>
      </c>
      <c r="O27" s="11">
        <v>546264.88122699386</v>
      </c>
      <c r="P27" s="11">
        <v>0</v>
      </c>
      <c r="Q27" s="11">
        <v>0</v>
      </c>
      <c r="R27" s="149">
        <f>SUM(K27:Q27)</f>
        <v>9917929.7866556328</v>
      </c>
      <c r="T27" s="153">
        <v>0</v>
      </c>
      <c r="V27" s="194">
        <f>R27+T27</f>
        <v>9917929.7866556328</v>
      </c>
    </row>
    <row r="28" spans="1:22" x14ac:dyDescent="0.25">
      <c r="A28" s="144" t="s">
        <v>1</v>
      </c>
      <c r="B28" s="146"/>
      <c r="C28" s="148">
        <v>8.8016295935224476E-2</v>
      </c>
      <c r="D28" s="142">
        <v>5.4017555705604325E-3</v>
      </c>
      <c r="E28" s="142">
        <v>0.32116903633491312</v>
      </c>
      <c r="F28" s="142">
        <v>2.2659897906136834E-2</v>
      </c>
      <c r="G28" s="142">
        <v>4.3103448275862072E-2</v>
      </c>
      <c r="H28" s="142">
        <v>9.815950920245399E-2</v>
      </c>
      <c r="I28" s="142">
        <v>0</v>
      </c>
      <c r="J28" s="142">
        <v>0.33160993077219636</v>
      </c>
      <c r="K28" s="11">
        <v>15674148.931101082</v>
      </c>
      <c r="L28" s="11">
        <v>9043550.9152482133</v>
      </c>
      <c r="M28" s="11">
        <v>298913.17769552569</v>
      </c>
      <c r="N28" s="11">
        <v>568589.88275862078</v>
      </c>
      <c r="O28" s="11">
        <v>971137.56662576681</v>
      </c>
      <c r="P28" s="11">
        <v>0</v>
      </c>
      <c r="Q28" s="11">
        <v>546795.14981213666</v>
      </c>
      <c r="R28" s="149">
        <f t="shared" ref="R28:R34" si="1">SUM(K28:Q28)</f>
        <v>27103135.623241343</v>
      </c>
      <c r="T28" s="153">
        <v>0</v>
      </c>
      <c r="V28" s="194">
        <f t="shared" ref="V28:V34" si="2">R28+T28</f>
        <v>27103135.623241343</v>
      </c>
    </row>
    <row r="29" spans="1:22" x14ac:dyDescent="0.25">
      <c r="A29" s="144" t="s">
        <v>2</v>
      </c>
      <c r="B29" s="146"/>
      <c r="C29" s="148">
        <v>0.29190029820603819</v>
      </c>
      <c r="D29" s="142">
        <v>0.21512491559756922</v>
      </c>
      <c r="E29" s="142">
        <v>9.7946287519747235E-3</v>
      </c>
      <c r="F29" s="142">
        <v>0.30850126565689201</v>
      </c>
      <c r="G29" s="142">
        <v>0.19540229885057472</v>
      </c>
      <c r="H29" s="142">
        <v>0.22085889570552147</v>
      </c>
      <c r="I29" s="142">
        <v>0.5</v>
      </c>
      <c r="J29" s="142">
        <v>0</v>
      </c>
      <c r="K29" s="11">
        <v>51982291.44386445</v>
      </c>
      <c r="L29" s="11">
        <v>9445777.7053220998</v>
      </c>
      <c r="M29" s="11">
        <v>4069528.2045211294</v>
      </c>
      <c r="N29" s="11">
        <v>2577607.4685057476</v>
      </c>
      <c r="O29" s="11">
        <v>2185059.5249079755</v>
      </c>
      <c r="P29" s="11">
        <v>3297821.3200000003</v>
      </c>
      <c r="Q29" s="11">
        <v>0</v>
      </c>
      <c r="R29" s="149">
        <f t="shared" si="1"/>
        <v>73558085.66712141</v>
      </c>
      <c r="T29" s="153">
        <v>17906120.882337891</v>
      </c>
      <c r="V29" s="194">
        <f t="shared" si="2"/>
        <v>91464206.549459308</v>
      </c>
    </row>
    <row r="30" spans="1:22" x14ac:dyDescent="0.25">
      <c r="A30" s="144" t="s">
        <v>3</v>
      </c>
      <c r="B30" s="146"/>
      <c r="C30" s="148">
        <v>4.406710014489737E-2</v>
      </c>
      <c r="D30" s="142">
        <v>1.2018906144496962E-2</v>
      </c>
      <c r="E30" s="142">
        <v>0.17630331753554501</v>
      </c>
      <c r="F30" s="142">
        <v>2.1922303512370914E-2</v>
      </c>
      <c r="G30" s="142">
        <v>2.8735632183908046E-2</v>
      </c>
      <c r="H30" s="142">
        <v>1.8404907975460124E-2</v>
      </c>
      <c r="I30" s="142">
        <v>0</v>
      </c>
      <c r="J30" s="142">
        <v>0.61493778485219031</v>
      </c>
      <c r="K30" s="11">
        <v>7847572.8078945521</v>
      </c>
      <c r="L30" s="11">
        <v>3897135.4652947485</v>
      </c>
      <c r="M30" s="11">
        <v>289183.35962643079</v>
      </c>
      <c r="N30" s="11">
        <v>379059.92183908046</v>
      </c>
      <c r="O30" s="11">
        <v>182088.2937423313</v>
      </c>
      <c r="P30" s="11">
        <v>0</v>
      </c>
      <c r="Q30" s="11">
        <v>1013977.4686795633</v>
      </c>
      <c r="R30" s="149">
        <f t="shared" si="1"/>
        <v>13609017.317076707</v>
      </c>
      <c r="T30" s="153">
        <v>0</v>
      </c>
      <c r="V30" s="194">
        <f t="shared" si="2"/>
        <v>13609017.317076707</v>
      </c>
    </row>
    <row r="31" spans="1:22" x14ac:dyDescent="0.25">
      <c r="A31" s="144" t="s">
        <v>4</v>
      </c>
      <c r="B31" s="146"/>
      <c r="C31" s="148">
        <v>0.40717528296004873</v>
      </c>
      <c r="D31" s="142">
        <v>0.6607697501688049</v>
      </c>
      <c r="E31" s="142">
        <v>8.3886255924170622E-2</v>
      </c>
      <c r="F31" s="142">
        <v>0.47484964576624217</v>
      </c>
      <c r="G31" s="142">
        <v>0.50574712643678166</v>
      </c>
      <c r="H31" s="142">
        <v>0.33742331288343558</v>
      </c>
      <c r="I31" s="142">
        <v>0.5</v>
      </c>
      <c r="J31" s="142">
        <v>0</v>
      </c>
      <c r="K31" s="11">
        <v>72510731.772624791</v>
      </c>
      <c r="L31" s="11">
        <v>30317223.088201996</v>
      </c>
      <c r="M31" s="11">
        <v>6263877.1424094448</v>
      </c>
      <c r="N31" s="11">
        <v>6671454.6243678173</v>
      </c>
      <c r="O31" s="11">
        <v>3338285.3852760731</v>
      </c>
      <c r="P31" s="11">
        <v>3297821.3200000003</v>
      </c>
      <c r="Q31" s="11">
        <v>0</v>
      </c>
      <c r="R31" s="149">
        <f t="shared" si="1"/>
        <v>122399393.33288014</v>
      </c>
      <c r="T31" s="153">
        <v>3529717.6976621109</v>
      </c>
      <c r="V31" s="194">
        <f t="shared" si="2"/>
        <v>125929111.03054225</v>
      </c>
    </row>
    <row r="32" spans="1:22" x14ac:dyDescent="0.25">
      <c r="A32" s="144" t="s">
        <v>5</v>
      </c>
      <c r="B32" s="146"/>
      <c r="C32" s="148">
        <v>5.4551571244145544E-2</v>
      </c>
      <c r="D32" s="142">
        <v>1.0803511141120863E-3</v>
      </c>
      <c r="E32" s="142">
        <v>0.23064770932069512</v>
      </c>
      <c r="F32" s="142">
        <v>1.5927746313086424E-2</v>
      </c>
      <c r="G32" s="142">
        <v>3.1609195402298854E-2</v>
      </c>
      <c r="H32" s="142">
        <v>0.13496932515337423</v>
      </c>
      <c r="I32" s="142">
        <v>0</v>
      </c>
      <c r="J32" s="142">
        <v>5.3452284375613467E-2</v>
      </c>
      <c r="K32" s="11">
        <v>9714672.0731758736</v>
      </c>
      <c r="L32" s="11">
        <v>6550195.4857348409</v>
      </c>
      <c r="M32" s="11">
        <v>210107.44548339123</v>
      </c>
      <c r="N32" s="11">
        <v>416965.91402298858</v>
      </c>
      <c r="O32" s="11">
        <v>1335314.1541104293</v>
      </c>
      <c r="P32" s="11">
        <v>0</v>
      </c>
      <c r="Q32" s="11">
        <v>88138.041508300492</v>
      </c>
      <c r="R32" s="149">
        <f t="shared" si="1"/>
        <v>18315393.114035826</v>
      </c>
      <c r="T32" s="153">
        <v>0</v>
      </c>
      <c r="V32" s="194">
        <f t="shared" si="2"/>
        <v>18315393.114035826</v>
      </c>
    </row>
    <row r="33" spans="1:22" x14ac:dyDescent="0.25">
      <c r="A33" s="144" t="s">
        <v>6</v>
      </c>
      <c r="B33" s="146"/>
      <c r="C33" s="148">
        <v>2.5647350679177443E-2</v>
      </c>
      <c r="D33" s="142">
        <v>1.5259959486833221E-2</v>
      </c>
      <c r="E33" s="142">
        <v>4.6287519747235384E-2</v>
      </c>
      <c r="F33" s="142">
        <v>3.7732645040486408E-2</v>
      </c>
      <c r="G33" s="142">
        <v>5.1724137931034482E-2</v>
      </c>
      <c r="H33" s="142">
        <v>1.8404907975460124E-2</v>
      </c>
      <c r="I33" s="142">
        <v>0</v>
      </c>
      <c r="J33" s="142">
        <v>0</v>
      </c>
      <c r="K33" s="11">
        <v>4567340.5130506242</v>
      </c>
      <c r="L33" s="11">
        <v>1560698.5693034825</v>
      </c>
      <c r="M33" s="11">
        <v>497742.08509803342</v>
      </c>
      <c r="N33" s="11">
        <v>682307.85931034491</v>
      </c>
      <c r="O33" s="11">
        <v>182088.2937423313</v>
      </c>
      <c r="P33" s="11"/>
      <c r="Q33" s="11">
        <v>0</v>
      </c>
      <c r="R33" s="149">
        <f t="shared" si="1"/>
        <v>7490177.3205048172</v>
      </c>
      <c r="T33" s="153">
        <v>0</v>
      </c>
      <c r="V33" s="194">
        <f t="shared" si="2"/>
        <v>7490177.3205048172</v>
      </c>
    </row>
    <row r="34" spans="1:22" x14ac:dyDescent="0.25">
      <c r="A34" s="144" t="s">
        <v>81</v>
      </c>
      <c r="B34" s="146"/>
      <c r="C34" s="148">
        <v>5.489502021722166E-2</v>
      </c>
      <c r="D34" s="142">
        <v>6.9682646860229569E-2</v>
      </c>
      <c r="E34" s="142">
        <v>1.6113744075829384E-2</v>
      </c>
      <c r="F34" s="142">
        <v>0.1054019130809485</v>
      </c>
      <c r="G34" s="142">
        <v>0.10057471264367816</v>
      </c>
      <c r="H34" s="142">
        <v>0.1165644171779141</v>
      </c>
      <c r="I34" s="142">
        <v>0</v>
      </c>
      <c r="J34" s="142">
        <v>0</v>
      </c>
      <c r="K34" s="11">
        <v>9775834.2738459688</v>
      </c>
      <c r="L34" s="11">
        <v>2520076.773324756</v>
      </c>
      <c r="M34" s="11">
        <v>1390386.7045085556</v>
      </c>
      <c r="N34" s="11">
        <v>1326709.7264367817</v>
      </c>
      <c r="O34" s="11">
        <v>1153225.8603680979</v>
      </c>
      <c r="P34" s="11"/>
      <c r="Q34" s="11">
        <v>0</v>
      </c>
      <c r="R34" s="149">
        <f t="shared" si="1"/>
        <v>16166233.338484159</v>
      </c>
      <c r="T34" s="153">
        <v>0</v>
      </c>
      <c r="V34" s="194">
        <f t="shared" si="2"/>
        <v>16166233.338484159</v>
      </c>
    </row>
    <row r="35" spans="1:22" s="6" customFormat="1" ht="15.75" thickBot="1" x14ac:dyDescent="0.3">
      <c r="A35" s="145" t="s">
        <v>57</v>
      </c>
      <c r="B35" s="147"/>
      <c r="C35" s="150">
        <f t="shared" ref="C35:L35" si="3">SUM(C27:C34)</f>
        <v>1</v>
      </c>
      <c r="D35" s="151">
        <f t="shared" si="3"/>
        <v>1</v>
      </c>
      <c r="E35" s="151">
        <f t="shared" si="3"/>
        <v>1.0000000000000002</v>
      </c>
      <c r="F35" s="151">
        <f t="shared" si="3"/>
        <v>1.0000000000000002</v>
      </c>
      <c r="G35" s="151">
        <f t="shared" si="3"/>
        <v>1.0000000000000002</v>
      </c>
      <c r="H35" s="151">
        <f>SUM(H27:H34)</f>
        <v>1</v>
      </c>
      <c r="I35" s="151">
        <f>SUM(I27:I34)</f>
        <v>1</v>
      </c>
      <c r="J35" s="151">
        <f>SUM(J27:J34)</f>
        <v>1.0000000000000002</v>
      </c>
      <c r="K35" s="121">
        <f t="shared" si="3"/>
        <v>178082351.28</v>
      </c>
      <c r="L35" s="121">
        <f t="shared" si="3"/>
        <v>65956426.400000013</v>
      </c>
      <c r="M35" s="121">
        <f t="shared" ref="M35:R35" si="4">SUM(M27:M34)</f>
        <v>13191285.280000003</v>
      </c>
      <c r="N35" s="121">
        <f t="shared" si="4"/>
        <v>13191285.280000001</v>
      </c>
      <c r="O35" s="121">
        <f t="shared" si="4"/>
        <v>9893463.9599999972</v>
      </c>
      <c r="P35" s="121">
        <f t="shared" si="4"/>
        <v>6595642.6400000006</v>
      </c>
      <c r="Q35" s="121">
        <f t="shared" si="4"/>
        <v>1648910.6600000004</v>
      </c>
      <c r="R35" s="152">
        <f t="shared" si="4"/>
        <v>288559365.50000006</v>
      </c>
      <c r="T35" s="154">
        <f>SUM(T27:T34)</f>
        <v>21435838.580000002</v>
      </c>
      <c r="V35" s="154">
        <f>SUM(V27:V34)</f>
        <v>309995204.0800001</v>
      </c>
    </row>
    <row r="36" spans="1:22" ht="5.0999999999999996" customHeight="1" thickBot="1" x14ac:dyDescent="0.3">
      <c r="D36" s="14"/>
    </row>
    <row r="37" spans="1:22" x14ac:dyDescent="0.25">
      <c r="A37" s="156" t="s">
        <v>62</v>
      </c>
      <c r="B37" s="146"/>
      <c r="C37" s="161" t="s">
        <v>10</v>
      </c>
      <c r="D37" s="157" t="s">
        <v>10</v>
      </c>
      <c r="E37" s="157" t="s">
        <v>10</v>
      </c>
      <c r="F37" s="157" t="s">
        <v>10</v>
      </c>
      <c r="G37" s="157" t="s">
        <v>10</v>
      </c>
      <c r="H37" s="157" t="s">
        <v>10</v>
      </c>
      <c r="I37" s="157" t="s">
        <v>10</v>
      </c>
      <c r="J37" s="157" t="s">
        <v>10</v>
      </c>
      <c r="K37" s="157" t="s">
        <v>10</v>
      </c>
      <c r="L37" s="157" t="s">
        <v>10</v>
      </c>
      <c r="M37" s="157" t="s">
        <v>10</v>
      </c>
      <c r="N37" s="157" t="s">
        <v>10</v>
      </c>
      <c r="O37" s="157" t="s">
        <v>10</v>
      </c>
      <c r="P37" s="157" t="s">
        <v>10</v>
      </c>
      <c r="Q37" s="157" t="s">
        <v>10</v>
      </c>
      <c r="R37" s="162" t="s">
        <v>10</v>
      </c>
      <c r="S37" s="146"/>
      <c r="T37" s="167" t="s">
        <v>10</v>
      </c>
      <c r="U37" s="146"/>
      <c r="V37" s="171">
        <f>G12</f>
        <v>11542374.620000001</v>
      </c>
    </row>
    <row r="38" spans="1:22" x14ac:dyDescent="0.25">
      <c r="A38" s="158" t="s">
        <v>49</v>
      </c>
      <c r="B38" s="146"/>
      <c r="C38" s="163" t="s">
        <v>10</v>
      </c>
      <c r="D38" s="13" t="s">
        <v>10</v>
      </c>
      <c r="E38" s="13" t="s">
        <v>10</v>
      </c>
      <c r="F38" s="13" t="s">
        <v>10</v>
      </c>
      <c r="G38" s="13" t="s">
        <v>10</v>
      </c>
      <c r="H38" s="13" t="s">
        <v>10</v>
      </c>
      <c r="I38" s="13" t="s">
        <v>10</v>
      </c>
      <c r="J38" s="13" t="s">
        <v>10</v>
      </c>
      <c r="K38" s="13" t="s">
        <v>10</v>
      </c>
      <c r="L38" s="13" t="s">
        <v>10</v>
      </c>
      <c r="M38" s="13" t="s">
        <v>10</v>
      </c>
      <c r="N38" s="13" t="s">
        <v>10</v>
      </c>
      <c r="O38" s="13" t="s">
        <v>10</v>
      </c>
      <c r="P38" s="13" t="s">
        <v>10</v>
      </c>
      <c r="Q38" s="13" t="s">
        <v>10</v>
      </c>
      <c r="R38" s="164" t="s">
        <v>10</v>
      </c>
      <c r="S38" s="146"/>
      <c r="T38" s="168" t="s">
        <v>10</v>
      </c>
      <c r="U38" s="146"/>
      <c r="V38" s="172">
        <f>G14</f>
        <v>1648910.6600000001</v>
      </c>
    </row>
    <row r="39" spans="1:22" ht="15.75" thickBot="1" x14ac:dyDescent="0.3">
      <c r="A39" s="159" t="s">
        <v>63</v>
      </c>
      <c r="B39" s="146"/>
      <c r="C39" s="165" t="s">
        <v>10</v>
      </c>
      <c r="D39" s="160" t="s">
        <v>10</v>
      </c>
      <c r="E39" s="160" t="s">
        <v>10</v>
      </c>
      <c r="F39" s="160" t="s">
        <v>10</v>
      </c>
      <c r="G39" s="160" t="s">
        <v>10</v>
      </c>
      <c r="H39" s="160" t="s">
        <v>10</v>
      </c>
      <c r="I39" s="160" t="s">
        <v>10</v>
      </c>
      <c r="J39" s="160" t="s">
        <v>10</v>
      </c>
      <c r="K39" s="160" t="s">
        <v>10</v>
      </c>
      <c r="L39" s="160" t="s">
        <v>10</v>
      </c>
      <c r="M39" s="160" t="s">
        <v>10</v>
      </c>
      <c r="N39" s="160" t="s">
        <v>10</v>
      </c>
      <c r="O39" s="160" t="s">
        <v>10</v>
      </c>
      <c r="P39" s="160" t="s">
        <v>10</v>
      </c>
      <c r="Q39" s="160" t="s">
        <v>10</v>
      </c>
      <c r="R39" s="166" t="s">
        <v>10</v>
      </c>
      <c r="S39" s="146"/>
      <c r="T39" s="169" t="s">
        <v>10</v>
      </c>
      <c r="U39" s="146"/>
      <c r="V39" s="173">
        <f>G13</f>
        <v>6595642.6400000006</v>
      </c>
    </row>
    <row r="40" spans="1:22" ht="5.0999999999999996" customHeight="1" thickBot="1" x14ac:dyDescent="0.3"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T40" s="155"/>
      <c r="V40" s="12"/>
    </row>
    <row r="41" spans="1:22" s="6" customFormat="1" ht="15.75" thickBot="1" x14ac:dyDescent="0.3">
      <c r="A41" s="170" t="s">
        <v>64</v>
      </c>
      <c r="B41" s="147"/>
      <c r="C41" s="175" t="s">
        <v>10</v>
      </c>
      <c r="D41" s="176" t="s">
        <v>10</v>
      </c>
      <c r="E41" s="176" t="s">
        <v>10</v>
      </c>
      <c r="F41" s="176" t="s">
        <v>10</v>
      </c>
      <c r="G41" s="176" t="s">
        <v>10</v>
      </c>
      <c r="H41" s="176" t="s">
        <v>10</v>
      </c>
      <c r="I41" s="176" t="s">
        <v>10</v>
      </c>
      <c r="J41" s="176" t="s">
        <v>10</v>
      </c>
      <c r="K41" s="177">
        <f>K35</f>
        <v>178082351.28</v>
      </c>
      <c r="L41" s="177">
        <f t="shared" ref="L41:Q41" si="5">L35</f>
        <v>65956426.400000013</v>
      </c>
      <c r="M41" s="177">
        <f t="shared" si="5"/>
        <v>13191285.280000003</v>
      </c>
      <c r="N41" s="177">
        <f t="shared" si="5"/>
        <v>13191285.280000001</v>
      </c>
      <c r="O41" s="177">
        <f t="shared" si="5"/>
        <v>9893463.9599999972</v>
      </c>
      <c r="P41" s="177">
        <f t="shared" si="5"/>
        <v>6595642.6400000006</v>
      </c>
      <c r="Q41" s="177">
        <f t="shared" si="5"/>
        <v>1648910.6600000004</v>
      </c>
      <c r="R41" s="178">
        <f>R35</f>
        <v>288559365.50000006</v>
      </c>
      <c r="S41" s="147"/>
      <c r="T41" s="179">
        <f>T35</f>
        <v>21435838.580000002</v>
      </c>
      <c r="U41" s="147"/>
      <c r="V41" s="174">
        <f>V35+V37+V38+V39</f>
        <v>329782132.00000012</v>
      </c>
    </row>
    <row r="42" spans="1:22" s="6" customFormat="1" ht="5.0999999999999996" customHeight="1" x14ac:dyDescent="0.25">
      <c r="C42" s="40"/>
      <c r="D42" s="40"/>
      <c r="E42" s="40"/>
      <c r="F42" s="40"/>
      <c r="G42" s="40"/>
      <c r="H42" s="40"/>
      <c r="I42" s="40"/>
      <c r="J42" s="40"/>
      <c r="K42" s="181"/>
      <c r="L42" s="181"/>
      <c r="M42" s="181"/>
      <c r="N42" s="181"/>
      <c r="O42" s="181"/>
      <c r="P42" s="181"/>
      <c r="Q42" s="181"/>
      <c r="R42" s="181"/>
      <c r="T42" s="181"/>
      <c r="V42" s="27"/>
    </row>
    <row r="43" spans="1:22" ht="15.75" thickBot="1" x14ac:dyDescent="0.3">
      <c r="A43" s="8" t="s">
        <v>23</v>
      </c>
      <c r="B43" s="17"/>
    </row>
    <row r="44" spans="1:22" ht="30" x14ac:dyDescent="0.25">
      <c r="A44" s="42" t="s">
        <v>56</v>
      </c>
      <c r="B44" s="146"/>
      <c r="C44" s="51" t="s">
        <v>96</v>
      </c>
      <c r="D44" s="52" t="s">
        <v>97</v>
      </c>
      <c r="E44" s="53" t="s">
        <v>148</v>
      </c>
      <c r="F44" s="425" t="s">
        <v>116</v>
      </c>
      <c r="G44" s="363"/>
    </row>
    <row r="45" spans="1:22" x14ac:dyDescent="0.25">
      <c r="A45" s="144" t="s">
        <v>0</v>
      </c>
      <c r="B45" s="183" t="s">
        <v>11</v>
      </c>
      <c r="C45" s="70">
        <v>10201944.466444373</v>
      </c>
      <c r="D45" s="11">
        <v>10025698.298408875</v>
      </c>
      <c r="E45" s="117">
        <f>V27</f>
        <v>9917929.7866556328</v>
      </c>
      <c r="F45" s="134">
        <f>E45-D45</f>
        <v>-107768.51175324246</v>
      </c>
      <c r="G45" s="191">
        <f>F45/D45</f>
        <v>-1.0749227489754586E-2</v>
      </c>
    </row>
    <row r="46" spans="1:22" x14ac:dyDescent="0.25">
      <c r="A46" s="144" t="s">
        <v>1</v>
      </c>
      <c r="B46" s="183" t="s">
        <v>12</v>
      </c>
      <c r="C46" s="70">
        <v>25367871.083849274</v>
      </c>
      <c r="D46" s="11">
        <v>26148182.668093</v>
      </c>
      <c r="E46" s="117">
        <f t="shared" ref="E46:E52" si="6">V28</f>
        <v>27103135.623241343</v>
      </c>
      <c r="F46" s="134">
        <f t="shared" ref="F46:F53" si="7">E46-D46</f>
        <v>954952.955148343</v>
      </c>
      <c r="G46" s="191">
        <f t="shared" ref="G46:G53" si="8">F46/D46</f>
        <v>3.6520815510196536E-2</v>
      </c>
    </row>
    <row r="47" spans="1:22" x14ac:dyDescent="0.25">
      <c r="A47" s="144" t="s">
        <v>2</v>
      </c>
      <c r="B47" s="183" t="s">
        <v>13</v>
      </c>
      <c r="C47" s="70">
        <v>85966962.708935067</v>
      </c>
      <c r="D47" s="11">
        <v>86718740.402113229</v>
      </c>
      <c r="E47" s="117">
        <f t="shared" si="6"/>
        <v>91464206.549459308</v>
      </c>
      <c r="F47" s="134">
        <f t="shared" si="7"/>
        <v>4745466.1473460793</v>
      </c>
      <c r="G47" s="191">
        <f t="shared" si="8"/>
        <v>5.472249856653174E-2</v>
      </c>
    </row>
    <row r="48" spans="1:22" x14ac:dyDescent="0.25">
      <c r="A48" s="144" t="s">
        <v>3</v>
      </c>
      <c r="B48" s="183" t="s">
        <v>14</v>
      </c>
      <c r="C48" s="70">
        <v>13485384.738001203</v>
      </c>
      <c r="D48" s="11">
        <v>13091605.048796186</v>
      </c>
      <c r="E48" s="117">
        <f t="shared" si="6"/>
        <v>13609017.317076707</v>
      </c>
      <c r="F48" s="134">
        <f t="shared" si="7"/>
        <v>517412.26828052104</v>
      </c>
      <c r="G48" s="191">
        <f t="shared" si="8"/>
        <v>3.9522447121798768E-2</v>
      </c>
    </row>
    <row r="49" spans="1:9" x14ac:dyDescent="0.25">
      <c r="A49" s="144" t="s">
        <v>4</v>
      </c>
      <c r="B49" s="183" t="s">
        <v>48</v>
      </c>
      <c r="C49" s="70">
        <v>121776657.10994163</v>
      </c>
      <c r="D49" s="11">
        <v>120965027.71040697</v>
      </c>
      <c r="E49" s="117">
        <f t="shared" si="6"/>
        <v>125929111.03054225</v>
      </c>
      <c r="F49" s="134">
        <f t="shared" si="7"/>
        <v>4964083.3201352805</v>
      </c>
      <c r="G49" s="191">
        <f t="shared" si="8"/>
        <v>4.1037342892355708E-2</v>
      </c>
    </row>
    <row r="50" spans="1:9" x14ac:dyDescent="0.25">
      <c r="A50" s="144" t="s">
        <v>5</v>
      </c>
      <c r="B50" s="183" t="s">
        <v>15</v>
      </c>
      <c r="C50" s="70">
        <v>16035037.872827096</v>
      </c>
      <c r="D50" s="11">
        <v>16206367.634161552</v>
      </c>
      <c r="E50" s="117">
        <f t="shared" si="6"/>
        <v>18315393.114035826</v>
      </c>
      <c r="F50" s="134">
        <f t="shared" si="7"/>
        <v>2109025.4798742738</v>
      </c>
      <c r="G50" s="191">
        <f t="shared" si="8"/>
        <v>0.13013560641612495</v>
      </c>
    </row>
    <row r="51" spans="1:9" x14ac:dyDescent="0.25">
      <c r="A51" s="144" t="s">
        <v>6</v>
      </c>
      <c r="B51" s="183" t="s">
        <v>17</v>
      </c>
      <c r="C51" s="70">
        <v>7445749.8733471949</v>
      </c>
      <c r="D51" s="11">
        <v>7619402.7865626346</v>
      </c>
      <c r="E51" s="117">
        <f t="shared" si="6"/>
        <v>7490177.3205048172</v>
      </c>
      <c r="F51" s="134">
        <f t="shared" si="7"/>
        <v>-129225.46605781745</v>
      </c>
      <c r="G51" s="191">
        <f t="shared" si="8"/>
        <v>-1.6960051814784733E-2</v>
      </c>
    </row>
    <row r="52" spans="1:9" x14ac:dyDescent="0.25">
      <c r="A52" s="144" t="s">
        <v>81</v>
      </c>
      <c r="B52" s="184" t="s">
        <v>16</v>
      </c>
      <c r="C52" s="70">
        <v>16803817.326654192</v>
      </c>
      <c r="D52" s="11">
        <v>16308400.631457558</v>
      </c>
      <c r="E52" s="117">
        <f t="shared" si="6"/>
        <v>16166233.338484159</v>
      </c>
      <c r="F52" s="134">
        <f t="shared" si="7"/>
        <v>-142167.29297339916</v>
      </c>
      <c r="G52" s="191">
        <f t="shared" si="8"/>
        <v>-8.7174270602090927E-3</v>
      </c>
    </row>
    <row r="53" spans="1:9" ht="15.75" thickBot="1" x14ac:dyDescent="0.3">
      <c r="A53" s="145" t="s">
        <v>9</v>
      </c>
      <c r="B53" s="182"/>
      <c r="C53" s="133">
        <f t="shared" ref="C53" si="9">SUM(C45:C52)</f>
        <v>297083425.18000007</v>
      </c>
      <c r="D53" s="121">
        <f t="shared" ref="D53:E53" si="10">SUM(D45:D52)</f>
        <v>297083425.18000001</v>
      </c>
      <c r="E53" s="152">
        <f t="shared" si="10"/>
        <v>309995204.0800001</v>
      </c>
      <c r="F53" s="192">
        <f t="shared" si="7"/>
        <v>12911778.900000095</v>
      </c>
      <c r="G53" s="193">
        <f t="shared" si="8"/>
        <v>4.3461794922342006E-2</v>
      </c>
    </row>
    <row r="54" spans="1:9" ht="5.0999999999999996" customHeight="1" x14ac:dyDescent="0.25">
      <c r="I54" s="6"/>
    </row>
    <row r="55" spans="1:9" ht="15.75" thickBot="1" x14ac:dyDescent="0.3">
      <c r="A55" s="292" t="s">
        <v>71</v>
      </c>
    </row>
    <row r="56" spans="1:9" ht="45" x14ac:dyDescent="0.25">
      <c r="A56" s="308" t="s">
        <v>30</v>
      </c>
      <c r="B56" s="310"/>
      <c r="C56" s="293" t="s">
        <v>98</v>
      </c>
      <c r="D56" s="283" t="s">
        <v>99</v>
      </c>
      <c r="E56" s="284" t="s">
        <v>163</v>
      </c>
    </row>
    <row r="57" spans="1:9" x14ac:dyDescent="0.25">
      <c r="A57" s="144" t="s">
        <v>0</v>
      </c>
      <c r="B57" s="146"/>
      <c r="C57" s="48">
        <f t="shared" ref="C57:E65" si="11">C45/C$53</f>
        <v>3.4340335413404872E-2</v>
      </c>
      <c r="D57" s="282">
        <f t="shared" si="11"/>
        <v>3.3747080613246598E-2</v>
      </c>
      <c r="E57" s="301">
        <f t="shared" si="11"/>
        <v>3.199381685948962E-2</v>
      </c>
    </row>
    <row r="58" spans="1:9" x14ac:dyDescent="0.25">
      <c r="A58" s="144" t="s">
        <v>1</v>
      </c>
      <c r="B58" s="146"/>
      <c r="C58" s="48">
        <f t="shared" si="11"/>
        <v>8.5389721989636805E-2</v>
      </c>
      <c r="D58" s="282">
        <f t="shared" si="11"/>
        <v>8.8016295935224476E-2</v>
      </c>
      <c r="E58" s="301">
        <f t="shared" si="11"/>
        <v>8.7430822369261127E-2</v>
      </c>
    </row>
    <row r="59" spans="1:9" x14ac:dyDescent="0.25">
      <c r="A59" s="144" t="s">
        <v>2</v>
      </c>
      <c r="B59" s="146"/>
      <c r="C59" s="48">
        <f t="shared" si="11"/>
        <v>0.28936977098890149</v>
      </c>
      <c r="D59" s="282">
        <f t="shared" si="11"/>
        <v>0.29190029820603819</v>
      </c>
      <c r="E59" s="301">
        <f t="shared" si="11"/>
        <v>0.29505039221785911</v>
      </c>
    </row>
    <row r="60" spans="1:9" x14ac:dyDescent="0.25">
      <c r="A60" s="144" t="s">
        <v>3</v>
      </c>
      <c r="B60" s="146"/>
      <c r="C60" s="48">
        <f t="shared" si="11"/>
        <v>4.5392585364971254E-2</v>
      </c>
      <c r="D60" s="282">
        <f t="shared" si="11"/>
        <v>4.406710014489737E-2</v>
      </c>
      <c r="E60" s="301">
        <f t="shared" si="11"/>
        <v>4.3900735037064133E-2</v>
      </c>
    </row>
    <row r="61" spans="1:9" x14ac:dyDescent="0.25">
      <c r="A61" s="144" t="s">
        <v>4</v>
      </c>
      <c r="B61" s="146"/>
      <c r="C61" s="48">
        <f t="shared" si="11"/>
        <v>0.40990727448412273</v>
      </c>
      <c r="D61" s="282">
        <f t="shared" si="11"/>
        <v>0.40717528296004873</v>
      </c>
      <c r="E61" s="301">
        <f t="shared" si="11"/>
        <v>0.40622922346257934</v>
      </c>
    </row>
    <row r="62" spans="1:9" x14ac:dyDescent="0.25">
      <c r="A62" s="144" t="s">
        <v>5</v>
      </c>
      <c r="B62" s="146"/>
      <c r="C62" s="48">
        <f t="shared" si="11"/>
        <v>5.3974865353432683E-2</v>
      </c>
      <c r="D62" s="282">
        <f t="shared" si="11"/>
        <v>5.4551571244145544E-2</v>
      </c>
      <c r="E62" s="301">
        <f t="shared" si="11"/>
        <v>5.9082827324351744E-2</v>
      </c>
    </row>
    <row r="63" spans="1:9" x14ac:dyDescent="0.25">
      <c r="A63" s="144" t="s">
        <v>6</v>
      </c>
      <c r="B63" s="146"/>
      <c r="C63" s="48">
        <f t="shared" si="11"/>
        <v>2.5062824924803141E-2</v>
      </c>
      <c r="D63" s="282">
        <f t="shared" si="11"/>
        <v>2.5647350679177443E-2</v>
      </c>
      <c r="E63" s="301">
        <f t="shared" si="11"/>
        <v>2.4162236131149421E-2</v>
      </c>
    </row>
    <row r="64" spans="1:9" x14ac:dyDescent="0.25">
      <c r="A64" s="144" t="s">
        <v>81</v>
      </c>
      <c r="B64" s="146"/>
      <c r="C64" s="48">
        <f t="shared" si="11"/>
        <v>5.6562621480726889E-2</v>
      </c>
      <c r="D64" s="282">
        <f t="shared" si="11"/>
        <v>5.489502021722166E-2</v>
      </c>
      <c r="E64" s="301">
        <f t="shared" si="11"/>
        <v>5.2149946598245296E-2</v>
      </c>
    </row>
    <row r="65" spans="1:5" ht="15.75" thickBot="1" x14ac:dyDescent="0.3">
      <c r="A65" s="309" t="s">
        <v>9</v>
      </c>
      <c r="B65" s="147"/>
      <c r="C65" s="311">
        <f t="shared" si="11"/>
        <v>1</v>
      </c>
      <c r="D65" s="312">
        <f t="shared" si="11"/>
        <v>1</v>
      </c>
      <c r="E65" s="313">
        <f t="shared" si="11"/>
        <v>1</v>
      </c>
    </row>
  </sheetData>
  <mergeCells count="38">
    <mergeCell ref="T25:T26"/>
    <mergeCell ref="V25:V26"/>
    <mergeCell ref="F44:G44"/>
    <mergeCell ref="N25:N26"/>
    <mergeCell ref="O25:O26"/>
    <mergeCell ref="P25:P26"/>
    <mergeCell ref="Q25:Q26"/>
    <mergeCell ref="R25:R26"/>
    <mergeCell ref="I25:I26"/>
    <mergeCell ref="J25:J26"/>
    <mergeCell ref="K25:K26"/>
    <mergeCell ref="L25:L26"/>
    <mergeCell ref="M25:M26"/>
    <mergeCell ref="G21:H21"/>
    <mergeCell ref="G22:H22"/>
    <mergeCell ref="G23:H23"/>
    <mergeCell ref="A25:A26"/>
    <mergeCell ref="C25:C26"/>
    <mergeCell ref="D25:E25"/>
    <mergeCell ref="F25:F26"/>
    <mergeCell ref="G25:G26"/>
    <mergeCell ref="H25:H26"/>
    <mergeCell ref="G17:H17"/>
    <mergeCell ref="G18:H18"/>
    <mergeCell ref="G7:H7"/>
    <mergeCell ref="G19:H19"/>
    <mergeCell ref="G20:H20"/>
    <mergeCell ref="G12:H12"/>
    <mergeCell ref="G13:H13"/>
    <mergeCell ref="G14:H14"/>
    <mergeCell ref="G15:H15"/>
    <mergeCell ref="G16:H16"/>
    <mergeCell ref="G3:H3"/>
    <mergeCell ref="G4:H4"/>
    <mergeCell ref="G11:H11"/>
    <mergeCell ref="G6:H6"/>
    <mergeCell ref="G8:H8"/>
    <mergeCell ref="G5:H5"/>
  </mergeCells>
  <pageMargins left="0.7" right="0.7" top="0.78740157499999996" bottom="0.78740157499999996" header="0.3" footer="0.3"/>
  <pageSetup paperSize="9" scale="48" orientation="landscape" r:id="rId1"/>
  <ignoredErrors>
    <ignoredError sqref="R27:R3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MH75"/>
  <sheetViews>
    <sheetView view="pageBreakPreview" topLeftCell="A52" zoomScaleNormal="100" zoomScaleSheetLayoutView="100" workbookViewId="0">
      <selection activeCell="D57" sqref="D57"/>
    </sheetView>
  </sheetViews>
  <sheetFormatPr defaultColWidth="9.140625" defaultRowHeight="15" x14ac:dyDescent="0.25"/>
  <cols>
    <col min="1" max="1" width="35.140625" style="5" customWidth="1"/>
    <col min="2" max="2" width="0.85546875" style="5" customWidth="1"/>
    <col min="3" max="9" width="15.7109375" style="5" customWidth="1"/>
    <col min="10" max="10" width="12" style="5" bestFit="1" customWidth="1"/>
    <col min="11" max="16384" width="9.140625" style="5"/>
  </cols>
  <sheetData>
    <row r="1" spans="1:9" s="2" customFormat="1" ht="15.75" x14ac:dyDescent="0.25">
      <c r="A1" s="21" t="s">
        <v>149</v>
      </c>
      <c r="B1" s="21"/>
    </row>
    <row r="2" spans="1:9" ht="5.0999999999999996" customHeight="1" thickBot="1" x14ac:dyDescent="0.3"/>
    <row r="3" spans="1:9" s="25" customFormat="1" ht="45" x14ac:dyDescent="0.25">
      <c r="A3" s="201" t="s">
        <v>30</v>
      </c>
      <c r="B3" s="129"/>
      <c r="C3" s="97" t="s">
        <v>150</v>
      </c>
      <c r="D3" s="115" t="s">
        <v>151</v>
      </c>
      <c r="E3" s="115" t="s">
        <v>152</v>
      </c>
      <c r="F3" s="358" t="s">
        <v>153</v>
      </c>
      <c r="G3" s="360" t="s">
        <v>159</v>
      </c>
      <c r="H3" s="53" t="s">
        <v>154</v>
      </c>
    </row>
    <row r="4" spans="1:9" customFormat="1" x14ac:dyDescent="0.25">
      <c r="A4" s="202" t="s">
        <v>0</v>
      </c>
      <c r="B4" s="127"/>
      <c r="C4" s="70">
        <f>'1.1 Objemy A JU'!G13</f>
        <v>55402548.423873678</v>
      </c>
      <c r="D4" s="11">
        <f>'1.2 Objemy K JU'!P13</f>
        <v>12970447.41421419</v>
      </c>
      <c r="E4" s="11">
        <f>SUM(C4:D4)</f>
        <v>68372995.838087872</v>
      </c>
      <c r="F4" s="11">
        <f>'2 Dotace na RVO'!V27</f>
        <v>9917929.7866556328</v>
      </c>
      <c r="G4" s="11">
        <f>'1.4 F-Koheze'!D6</f>
        <v>2449890.2974047721</v>
      </c>
      <c r="H4" s="246">
        <f t="shared" ref="H4:H11" si="0">F4+E4+G4</f>
        <v>80740815.922148272</v>
      </c>
    </row>
    <row r="5" spans="1:9" customFormat="1" x14ac:dyDescent="0.25">
      <c r="A5" s="203" t="s">
        <v>1</v>
      </c>
      <c r="B5" s="206"/>
      <c r="C5" s="70">
        <f>'1.1 Objemy A JU'!G14</f>
        <v>34172512.14817746</v>
      </c>
      <c r="D5" s="11">
        <f>'1.2 Objemy K JU'!P14</f>
        <v>14478555.214666009</v>
      </c>
      <c r="E5" s="11">
        <f t="shared" ref="E5:E11" si="1">SUM(C5:D5)</f>
        <v>48651067.362843469</v>
      </c>
      <c r="F5" s="11">
        <f>'2 Dotace na RVO'!V28</f>
        <v>27103135.623241343</v>
      </c>
      <c r="G5" s="11">
        <f>'1.4 F-Koheze'!D7</f>
        <v>2110586.2060731258</v>
      </c>
      <c r="H5" s="246">
        <f t="shared" si="0"/>
        <v>77864789.192157939</v>
      </c>
    </row>
    <row r="6" spans="1:9" customFormat="1" x14ac:dyDescent="0.25">
      <c r="A6" s="202" t="s">
        <v>2</v>
      </c>
      <c r="B6" s="127"/>
      <c r="C6" s="70">
        <f>'1.1 Objemy A JU'!G15</f>
        <v>20611313.495901156</v>
      </c>
      <c r="D6" s="11">
        <f>'1.2 Objemy K JU'!P15</f>
        <v>21990855.931970511</v>
      </c>
      <c r="E6" s="11">
        <f t="shared" si="1"/>
        <v>42602169.427871667</v>
      </c>
      <c r="F6" s="11">
        <f>'2 Dotace na RVO'!V29</f>
        <v>91464206.549459308</v>
      </c>
      <c r="G6" s="11">
        <f>'1.4 F-Koheze'!D8</f>
        <v>2499867.4071343513</v>
      </c>
      <c r="H6" s="246">
        <f t="shared" si="0"/>
        <v>136566243.38446534</v>
      </c>
    </row>
    <row r="7" spans="1:9" customFormat="1" x14ac:dyDescent="0.25">
      <c r="A7" s="202" t="s">
        <v>3</v>
      </c>
      <c r="B7" s="127"/>
      <c r="C7" s="70">
        <f>'1.1 Objemy A JU'!G16</f>
        <v>110393051.60223056</v>
      </c>
      <c r="D7" s="11">
        <f>'1.2 Objemy K JU'!P16</f>
        <v>16826046.175535437</v>
      </c>
      <c r="E7" s="11">
        <f t="shared" si="1"/>
        <v>127219097.777766</v>
      </c>
      <c r="F7" s="11">
        <f>'2 Dotace na RVO'!V30</f>
        <v>13609017.317076707</v>
      </c>
      <c r="G7" s="11">
        <f>'1.4 F-Koheze'!D9</f>
        <v>4047027.6088554189</v>
      </c>
      <c r="H7" s="246">
        <f t="shared" si="0"/>
        <v>144875142.70369813</v>
      </c>
    </row>
    <row r="8" spans="1:9" customFormat="1" x14ac:dyDescent="0.25">
      <c r="A8" s="202" t="s">
        <v>4</v>
      </c>
      <c r="B8" s="127"/>
      <c r="C8" s="70">
        <f>'1.1 Objemy A JU'!G17</f>
        <v>90142338.999052167</v>
      </c>
      <c r="D8" s="11">
        <f>'1.2 Objemy K JU'!P17</f>
        <v>36543785.050288424</v>
      </c>
      <c r="E8" s="11">
        <f t="shared" si="1"/>
        <v>126686124.04934059</v>
      </c>
      <c r="F8" s="11">
        <f>'2 Dotace na RVO'!V31</f>
        <v>125929111.03054225</v>
      </c>
      <c r="G8" s="11">
        <f>'1.4 F-Koheze'!D10</f>
        <v>5414874.0265969168</v>
      </c>
      <c r="H8" s="246">
        <f t="shared" si="0"/>
        <v>258030109.10647976</v>
      </c>
    </row>
    <row r="9" spans="1:9" customFormat="1" x14ac:dyDescent="0.25">
      <c r="A9" s="202" t="s">
        <v>5</v>
      </c>
      <c r="B9" s="127"/>
      <c r="C9" s="70">
        <f>'1.1 Objemy A JU'!G18</f>
        <v>28799011.95608924</v>
      </c>
      <c r="D9" s="11">
        <f>'1.2 Objemy K JU'!P18</f>
        <v>7265667.140670646</v>
      </c>
      <c r="E9" s="11">
        <f t="shared" si="1"/>
        <v>36064679.096759886</v>
      </c>
      <c r="F9" s="11">
        <f>'2 Dotace na RVO'!V32</f>
        <v>18315393.114035826</v>
      </c>
      <c r="G9" s="11">
        <f>'1.4 F-Koheze'!D11</f>
        <v>1321925.199786531</v>
      </c>
      <c r="H9" s="246">
        <f t="shared" si="0"/>
        <v>55701997.410582244</v>
      </c>
    </row>
    <row r="10" spans="1:9" customFormat="1" x14ac:dyDescent="0.25">
      <c r="A10" s="203" t="s">
        <v>6</v>
      </c>
      <c r="B10" s="206"/>
      <c r="C10" s="70">
        <f>'1.1 Objemy A JU'!G19</f>
        <v>119838074.3846931</v>
      </c>
      <c r="D10" s="11">
        <f>'1.2 Objemy K JU'!P19</f>
        <v>9688648.3735542446</v>
      </c>
      <c r="E10" s="11">
        <f t="shared" si="1"/>
        <v>129526722.75824735</v>
      </c>
      <c r="F10" s="11">
        <f>'2 Dotace na RVO'!V33</f>
        <v>7490177.3205048172</v>
      </c>
      <c r="G10" s="11">
        <f>'1.4 F-Koheze'!D12</f>
        <v>3599595.2575510927</v>
      </c>
      <c r="H10" s="246">
        <f t="shared" si="0"/>
        <v>140616495.33630326</v>
      </c>
    </row>
    <row r="11" spans="1:9" customFormat="1" x14ac:dyDescent="0.25">
      <c r="A11" s="203" t="s">
        <v>81</v>
      </c>
      <c r="B11" s="206"/>
      <c r="C11" s="70">
        <f>'1.1 Objemy A JU'!G20</f>
        <v>80375040.089982614</v>
      </c>
      <c r="D11" s="11">
        <f>'1.2 Objemy K JU'!P20</f>
        <v>11795616.099100504</v>
      </c>
      <c r="E11" s="11">
        <f t="shared" si="1"/>
        <v>92170656.189083114</v>
      </c>
      <c r="F11" s="11">
        <f>'2 Dotace na RVO'!V34</f>
        <v>16166233.338484159</v>
      </c>
      <c r="G11" s="11">
        <f>'1.4 F-Koheze'!D13</f>
        <v>2904448.6507781106</v>
      </c>
      <c r="H11" s="246">
        <f t="shared" si="0"/>
        <v>111241338.17834538</v>
      </c>
    </row>
    <row r="12" spans="1:9" s="6" customFormat="1" ht="15.75" thickBot="1" x14ac:dyDescent="0.3">
      <c r="A12" s="204" t="s">
        <v>7</v>
      </c>
      <c r="B12" s="130"/>
      <c r="C12" s="205">
        <f>SUM(C4:C11)</f>
        <v>539733891.0999999</v>
      </c>
      <c r="D12" s="196">
        <f>SUM(D4:D11)</f>
        <v>131559621.39999996</v>
      </c>
      <c r="E12" s="196">
        <f>SUM(E4:E11)</f>
        <v>671293512.5</v>
      </c>
      <c r="F12" s="197">
        <f t="shared" ref="F12" si="2">SUM(F4:F11)</f>
        <v>309995204.0800001</v>
      </c>
      <c r="G12" s="196">
        <f>SUM(G4:G11)</f>
        <v>24348214.654180318</v>
      </c>
      <c r="H12" s="247">
        <f>SUM(H4:H11)</f>
        <v>1005636931.2341805</v>
      </c>
    </row>
    <row r="13" spans="1:9" ht="5.0999999999999996" customHeight="1" thickBot="1" x14ac:dyDescent="0.3">
      <c r="A13" s="248"/>
      <c r="B13" s="248"/>
      <c r="C13" s="248"/>
      <c r="D13" s="248"/>
      <c r="E13" s="248"/>
      <c r="F13" s="248"/>
      <c r="G13" s="248"/>
    </row>
    <row r="14" spans="1:9" ht="16.5" thickTop="1" thickBot="1" x14ac:dyDescent="0.3">
      <c r="A14" s="17" t="s">
        <v>155</v>
      </c>
      <c r="B14" s="17"/>
      <c r="G14"/>
      <c r="H14" s="351"/>
    </row>
    <row r="15" spans="1:9" ht="15" customHeight="1" x14ac:dyDescent="0.25">
      <c r="A15" s="201" t="s">
        <v>30</v>
      </c>
      <c r="B15" s="129"/>
      <c r="C15" s="97" t="s">
        <v>83</v>
      </c>
      <c r="D15" s="115" t="s">
        <v>95</v>
      </c>
      <c r="E15" s="115" t="s">
        <v>132</v>
      </c>
      <c r="F15" s="428" t="s">
        <v>156</v>
      </c>
      <c r="G15" s="429"/>
    </row>
    <row r="16" spans="1:9" x14ac:dyDescent="0.25">
      <c r="A16" s="202" t="s">
        <v>0</v>
      </c>
      <c r="B16" s="127"/>
      <c r="C16" s="132">
        <v>78162652.947697133</v>
      </c>
      <c r="D16" s="11">
        <v>79016559.161650255</v>
      </c>
      <c r="E16" s="11">
        <f t="shared" ref="E16:E23" si="3">H4</f>
        <v>80740815.922148272</v>
      </c>
      <c r="F16" s="339">
        <f>E16-D16</f>
        <v>1724256.7604980171</v>
      </c>
      <c r="G16" s="340">
        <f>F16/D16</f>
        <v>2.1821460954413015E-2</v>
      </c>
      <c r="I16" s="18"/>
    </row>
    <row r="17" spans="1:1022" x14ac:dyDescent="0.25">
      <c r="A17" s="203" t="s">
        <v>1</v>
      </c>
      <c r="B17" s="206"/>
      <c r="C17" s="132">
        <v>69845676.294105738</v>
      </c>
      <c r="D17" s="11">
        <v>73171124.600658417</v>
      </c>
      <c r="E17" s="11">
        <f t="shared" si="3"/>
        <v>77864789.192157939</v>
      </c>
      <c r="F17" s="339">
        <f t="shared" ref="F17:F23" si="4">E17-D17</f>
        <v>4693664.5914995223</v>
      </c>
      <c r="G17" s="340">
        <f t="shared" ref="G17:G24" si="5">F17/D17</f>
        <v>6.4146404980323174E-2</v>
      </c>
    </row>
    <row r="18" spans="1:1022" x14ac:dyDescent="0.25">
      <c r="A18" s="202" t="s">
        <v>2</v>
      </c>
      <c r="B18" s="127"/>
      <c r="C18" s="132">
        <v>124585271.48527226</v>
      </c>
      <c r="D18" s="11">
        <v>128088546.13559616</v>
      </c>
      <c r="E18" s="11">
        <f t="shared" si="3"/>
        <v>136566243.38446534</v>
      </c>
      <c r="F18" s="339">
        <f t="shared" si="4"/>
        <v>8477697.2488691807</v>
      </c>
      <c r="G18" s="340">
        <f t="shared" si="5"/>
        <v>6.6186224331835131E-2</v>
      </c>
    </row>
    <row r="19" spans="1:1022" x14ac:dyDescent="0.25">
      <c r="A19" s="202" t="s">
        <v>3</v>
      </c>
      <c r="B19" s="127"/>
      <c r="C19" s="132">
        <v>137644504.66653118</v>
      </c>
      <c r="D19" s="11">
        <v>139823996.90552196</v>
      </c>
      <c r="E19" s="11">
        <f t="shared" si="3"/>
        <v>144875142.70369813</v>
      </c>
      <c r="F19" s="339">
        <f t="shared" si="4"/>
        <v>5051145.7981761694</v>
      </c>
      <c r="G19" s="340">
        <f t="shared" si="5"/>
        <v>3.6125027963470328E-2</v>
      </c>
    </row>
    <row r="20" spans="1:1022" x14ac:dyDescent="0.25">
      <c r="A20" s="202" t="s">
        <v>4</v>
      </c>
      <c r="B20" s="127"/>
      <c r="C20" s="132">
        <v>237290515.08595958</v>
      </c>
      <c r="D20" s="11">
        <v>244595461.53235057</v>
      </c>
      <c r="E20" s="11">
        <f t="shared" si="3"/>
        <v>258030109.10647976</v>
      </c>
      <c r="F20" s="339">
        <f t="shared" si="4"/>
        <v>13434647.574129194</v>
      </c>
      <c r="G20" s="340">
        <f t="shared" si="5"/>
        <v>5.4925988773312978E-2</v>
      </c>
    </row>
    <row r="21" spans="1:1022" x14ac:dyDescent="0.25">
      <c r="A21" s="202" t="s">
        <v>5</v>
      </c>
      <c r="B21" s="127"/>
      <c r="C21" s="132">
        <v>50281771.435794011</v>
      </c>
      <c r="D21" s="11">
        <v>51824108.841017187</v>
      </c>
      <c r="E21" s="11">
        <f t="shared" si="3"/>
        <v>55701997.410582244</v>
      </c>
      <c r="F21" s="339">
        <f t="shared" si="4"/>
        <v>3877888.5695650578</v>
      </c>
      <c r="G21" s="340">
        <f t="shared" si="5"/>
        <v>7.4827887180103872E-2</v>
      </c>
    </row>
    <row r="22" spans="1:1022" x14ac:dyDescent="0.25">
      <c r="A22" s="203" t="s">
        <v>6</v>
      </c>
      <c r="B22" s="206"/>
      <c r="C22" s="132">
        <v>132674713.03107186</v>
      </c>
      <c r="D22" s="11">
        <v>136137196.93744853</v>
      </c>
      <c r="E22" s="11">
        <f t="shared" si="3"/>
        <v>140616495.33630326</v>
      </c>
      <c r="F22" s="339">
        <f t="shared" si="4"/>
        <v>4479298.3988547325</v>
      </c>
      <c r="G22" s="340">
        <f t="shared" si="5"/>
        <v>3.2902825235287106E-2</v>
      </c>
    </row>
    <row r="23" spans="1:1022" x14ac:dyDescent="0.25">
      <c r="A23" s="203" t="s">
        <v>81</v>
      </c>
      <c r="B23" s="206"/>
      <c r="C23" s="132">
        <v>102916484.53356817</v>
      </c>
      <c r="D23" s="11">
        <v>106076207.61575693</v>
      </c>
      <c r="E23" s="11">
        <f t="shared" si="3"/>
        <v>111241338.17834538</v>
      </c>
      <c r="F23" s="339">
        <f t="shared" si="4"/>
        <v>5165130.5625884533</v>
      </c>
      <c r="G23" s="340">
        <f t="shared" si="5"/>
        <v>4.869263974159279E-2</v>
      </c>
    </row>
    <row r="24" spans="1:1022" s="6" customFormat="1" ht="15.75" thickBot="1" x14ac:dyDescent="0.3">
      <c r="A24" s="204" t="s">
        <v>7</v>
      </c>
      <c r="B24" s="130"/>
      <c r="C24" s="245">
        <f>SUM(C16:C23)</f>
        <v>933401589.4799999</v>
      </c>
      <c r="D24" s="197">
        <f>SUM(D16:D23)</f>
        <v>958733201.73000002</v>
      </c>
      <c r="E24" s="197">
        <f>SUM(E16:E23)</f>
        <v>1005636931.2341805</v>
      </c>
      <c r="F24" s="341">
        <f t="shared" ref="F24" si="6">SUM(F16:F23)</f>
        <v>46903729.504180327</v>
      </c>
      <c r="G24" s="342">
        <f t="shared" si="5"/>
        <v>4.8922608938069746E-2</v>
      </c>
      <c r="AMH24" s="20"/>
    </row>
    <row r="25" spans="1:1022" ht="5.0999999999999996" customHeight="1" thickBot="1" x14ac:dyDescent="0.3">
      <c r="A25" s="248"/>
      <c r="B25" s="248"/>
      <c r="C25" s="248"/>
      <c r="D25" s="248"/>
      <c r="E25" s="248"/>
      <c r="F25" s="248"/>
      <c r="G25" s="248"/>
    </row>
    <row r="26" spans="1:1022" ht="16.5" thickTop="1" thickBot="1" x14ac:dyDescent="0.3">
      <c r="A26" s="17" t="s">
        <v>101</v>
      </c>
    </row>
    <row r="27" spans="1:1022" x14ac:dyDescent="0.25">
      <c r="A27" s="201" t="s">
        <v>30</v>
      </c>
      <c r="C27" s="97" t="s">
        <v>83</v>
      </c>
      <c r="D27" s="115" t="s">
        <v>95</v>
      </c>
      <c r="E27" s="116" t="s">
        <v>132</v>
      </c>
    </row>
    <row r="28" spans="1:1022" x14ac:dyDescent="0.25">
      <c r="A28" s="202" t="s">
        <v>0</v>
      </c>
      <c r="C28" s="211">
        <f>C16/C$24</f>
        <v>8.3739575578869241E-2</v>
      </c>
      <c r="D28" s="44">
        <f t="shared" ref="D28:E28" si="7">D16/D$24</f>
        <v>8.2417672632039529E-2</v>
      </c>
      <c r="E28" s="294">
        <f t="shared" si="7"/>
        <v>8.0288236653220463E-2</v>
      </c>
    </row>
    <row r="29" spans="1:1022" x14ac:dyDescent="0.25">
      <c r="A29" s="203" t="s">
        <v>1</v>
      </c>
      <c r="C29" s="211">
        <f t="shared" ref="C29:E36" si="8">C17/C$24</f>
        <v>7.4829180795606867E-2</v>
      </c>
      <c r="D29" s="44">
        <f t="shared" si="8"/>
        <v>7.6320632756457923E-2</v>
      </c>
      <c r="E29" s="294">
        <f t="shared" si="8"/>
        <v>7.7428331014650992E-2</v>
      </c>
    </row>
    <row r="30" spans="1:1022" x14ac:dyDescent="0.25">
      <c r="A30" s="202" t="s">
        <v>2</v>
      </c>
      <c r="C30" s="211">
        <f t="shared" si="8"/>
        <v>0.13347445824972184</v>
      </c>
      <c r="D30" s="44">
        <f t="shared" si="8"/>
        <v>0.13360186744807098</v>
      </c>
      <c r="E30" s="294">
        <f t="shared" si="8"/>
        <v>0.13580074392938485</v>
      </c>
    </row>
    <row r="31" spans="1:1022" x14ac:dyDescent="0.25">
      <c r="A31" s="202" t="s">
        <v>3</v>
      </c>
      <c r="C31" s="211">
        <f t="shared" si="8"/>
        <v>0.14746547061615059</v>
      </c>
      <c r="D31" s="44">
        <f t="shared" si="8"/>
        <v>0.14584244777714439</v>
      </c>
      <c r="E31" s="294">
        <f t="shared" si="8"/>
        <v>0.14406306908985364</v>
      </c>
    </row>
    <row r="32" spans="1:1022" x14ac:dyDescent="0.25">
      <c r="A32" s="202" t="s">
        <v>4</v>
      </c>
      <c r="C32" s="211">
        <f t="shared" si="8"/>
        <v>0.2542212459892581</v>
      </c>
      <c r="D32" s="44">
        <f t="shared" si="8"/>
        <v>0.25512359548098129</v>
      </c>
      <c r="E32" s="294">
        <f t="shared" si="8"/>
        <v>0.25658376407259537</v>
      </c>
    </row>
    <row r="33" spans="1:8" x14ac:dyDescent="0.25">
      <c r="A33" s="202" t="s">
        <v>5</v>
      </c>
      <c r="C33" s="211">
        <f t="shared" si="8"/>
        <v>5.3869386984659089E-2</v>
      </c>
      <c r="D33" s="44">
        <f t="shared" si="8"/>
        <v>5.405477639399827E-2</v>
      </c>
      <c r="E33" s="294">
        <f t="shared" si="8"/>
        <v>5.5389769091138366E-2</v>
      </c>
    </row>
    <row r="34" spans="1:8" x14ac:dyDescent="0.25">
      <c r="A34" s="203" t="s">
        <v>6</v>
      </c>
      <c r="C34" s="211">
        <f t="shared" si="8"/>
        <v>0.14214108324476415</v>
      </c>
      <c r="D34" s="44">
        <f t="shared" si="8"/>
        <v>0.14199695670473683</v>
      </c>
      <c r="E34" s="294">
        <f t="shared" si="8"/>
        <v>0.13982829286483137</v>
      </c>
    </row>
    <row r="35" spans="1:8" x14ac:dyDescent="0.25">
      <c r="A35" s="343" t="s">
        <v>81</v>
      </c>
      <c r="C35" s="211">
        <f t="shared" si="8"/>
        <v>0.1102595985409701</v>
      </c>
      <c r="D35" s="44">
        <f t="shared" si="8"/>
        <v>0.11064205080657077</v>
      </c>
      <c r="E35" s="294">
        <f t="shared" si="8"/>
        <v>0.11061779328432486</v>
      </c>
    </row>
    <row r="36" spans="1:8" ht="15.75" thickBot="1" x14ac:dyDescent="0.3">
      <c r="A36" s="204" t="s">
        <v>7</v>
      </c>
      <c r="C36" s="320">
        <f t="shared" si="8"/>
        <v>1</v>
      </c>
      <c r="D36" s="321">
        <f t="shared" si="8"/>
        <v>1</v>
      </c>
      <c r="E36" s="322">
        <f t="shared" si="8"/>
        <v>1</v>
      </c>
    </row>
    <row r="37" spans="1:8" ht="5.0999999999999996" customHeight="1" thickBot="1" x14ac:dyDescent="0.3">
      <c r="A37" s="248"/>
      <c r="B37" s="248"/>
      <c r="C37" s="248"/>
      <c r="D37" s="248"/>
      <c r="E37" s="248"/>
    </row>
    <row r="38" spans="1:8" ht="16.5" thickTop="1" thickBot="1" x14ac:dyDescent="0.3">
      <c r="A38" s="17" t="s">
        <v>73</v>
      </c>
      <c r="B38" s="17"/>
    </row>
    <row r="39" spans="1:8" x14ac:dyDescent="0.25">
      <c r="A39" s="97" t="s">
        <v>30</v>
      </c>
      <c r="B39" s="129"/>
      <c r="C39" s="97" t="s">
        <v>83</v>
      </c>
      <c r="D39" s="115" t="s">
        <v>95</v>
      </c>
      <c r="E39" s="116" t="s">
        <v>132</v>
      </c>
      <c r="F39" s="428" t="s">
        <v>156</v>
      </c>
      <c r="G39" s="429"/>
    </row>
    <row r="40" spans="1:8" x14ac:dyDescent="0.25">
      <c r="A40" s="100" t="s">
        <v>0</v>
      </c>
      <c r="B40" s="127"/>
      <c r="C40" s="70">
        <v>9904878.402513966</v>
      </c>
      <c r="D40" s="11">
        <v>9527613.7864001654</v>
      </c>
      <c r="E40" s="199">
        <v>10724895.389075492</v>
      </c>
      <c r="F40" s="339">
        <f>E40-D40</f>
        <v>1197281.6026753262</v>
      </c>
      <c r="G40" s="340">
        <f>F40/D40</f>
        <v>0.12566437195264368</v>
      </c>
    </row>
    <row r="41" spans="1:8" x14ac:dyDescent="0.25">
      <c r="A41" s="101" t="s">
        <v>1</v>
      </c>
      <c r="B41" s="206"/>
      <c r="C41" s="70">
        <v>9082587.9589058012</v>
      </c>
      <c r="D41" s="11">
        <v>9171000.9371304084</v>
      </c>
      <c r="E41" s="199">
        <v>10144046.574696055</v>
      </c>
      <c r="F41" s="339">
        <f t="shared" ref="F41:F47" si="9">E41-D41</f>
        <v>973045.63756564632</v>
      </c>
      <c r="G41" s="340">
        <f t="shared" ref="G41:G48" si="10">F41/D41</f>
        <v>0.10610026585278169</v>
      </c>
    </row>
    <row r="42" spans="1:8" x14ac:dyDescent="0.25">
      <c r="A42" s="100" t="s">
        <v>2</v>
      </c>
      <c r="B42" s="127"/>
      <c r="C42" s="70">
        <v>15618653.512808979</v>
      </c>
      <c r="D42" s="11">
        <v>15723909.723691154</v>
      </c>
      <c r="E42" s="199">
        <v>17827867.616591517</v>
      </c>
      <c r="F42" s="339">
        <f t="shared" si="9"/>
        <v>2103957.8929003626</v>
      </c>
      <c r="G42" s="340">
        <f t="shared" si="10"/>
        <v>0.13380628163556149</v>
      </c>
    </row>
    <row r="43" spans="1:8" x14ac:dyDescent="0.25">
      <c r="A43" s="100" t="s">
        <v>3</v>
      </c>
      <c r="B43" s="127"/>
      <c r="C43" s="70">
        <v>19114818.068200864</v>
      </c>
      <c r="D43" s="11">
        <v>18809732.302532185</v>
      </c>
      <c r="E43" s="199">
        <v>20045646.621073391</v>
      </c>
      <c r="F43" s="339">
        <f t="shared" si="9"/>
        <v>1235914.3185412064</v>
      </c>
      <c r="G43" s="340">
        <f t="shared" si="10"/>
        <v>6.5706108872949059E-2</v>
      </c>
    </row>
    <row r="44" spans="1:8" x14ac:dyDescent="0.25">
      <c r="A44" s="100" t="s">
        <v>4</v>
      </c>
      <c r="B44" s="127"/>
      <c r="C44" s="70">
        <v>29576776.789657466</v>
      </c>
      <c r="D44" s="11">
        <v>30880853.207106438</v>
      </c>
      <c r="E44" s="199">
        <v>34797717.151036881</v>
      </c>
      <c r="F44" s="339">
        <f t="shared" si="9"/>
        <v>3916863.9439304434</v>
      </c>
      <c r="G44" s="340">
        <f t="shared" si="10"/>
        <v>0.1268379444590306</v>
      </c>
    </row>
    <row r="45" spans="1:8" x14ac:dyDescent="0.25">
      <c r="A45" s="100" t="s">
        <v>5</v>
      </c>
      <c r="B45" s="127"/>
      <c r="C45" s="70">
        <v>6134869.5117900483</v>
      </c>
      <c r="D45" s="11">
        <v>5989308.5848906292</v>
      </c>
      <c r="E45" s="199">
        <v>6282211.2928063767</v>
      </c>
      <c r="F45" s="339">
        <f t="shared" si="9"/>
        <v>292902.70791574754</v>
      </c>
      <c r="G45" s="340">
        <f t="shared" si="10"/>
        <v>4.8904260611092931E-2</v>
      </c>
    </row>
    <row r="46" spans="1:8" x14ac:dyDescent="0.25">
      <c r="A46" s="101" t="s">
        <v>6</v>
      </c>
      <c r="B46" s="206"/>
      <c r="C46" s="70">
        <v>14476141.67357753</v>
      </c>
      <c r="D46" s="11">
        <v>13986540.518593967</v>
      </c>
      <c r="E46" s="199">
        <v>15039234.994227672</v>
      </c>
      <c r="F46" s="339">
        <f t="shared" si="9"/>
        <v>1052694.475633705</v>
      </c>
      <c r="G46" s="340">
        <f t="shared" si="10"/>
        <v>7.5264821507093446E-2</v>
      </c>
    </row>
    <row r="47" spans="1:8" x14ac:dyDescent="0.25">
      <c r="A47" s="326" t="s">
        <v>81</v>
      </c>
      <c r="B47" s="206"/>
      <c r="C47" s="70">
        <v>12849546.55720027</v>
      </c>
      <c r="D47" s="11">
        <v>13837967.565756291</v>
      </c>
      <c r="E47" s="199">
        <v>14430556.369777579</v>
      </c>
      <c r="F47" s="339">
        <f t="shared" si="9"/>
        <v>592588.80402128771</v>
      </c>
      <c r="G47" s="340">
        <f t="shared" si="10"/>
        <v>4.2823398826842149E-2</v>
      </c>
    </row>
    <row r="48" spans="1:8" x14ac:dyDescent="0.25">
      <c r="A48" s="200" t="s">
        <v>7</v>
      </c>
      <c r="B48" s="130"/>
      <c r="C48" s="270">
        <f>SUM(C40:C47)</f>
        <v>116758272.47465493</v>
      </c>
      <c r="D48" s="20">
        <f>SUM(D40:D47)</f>
        <v>117926926.62610124</v>
      </c>
      <c r="E48" s="149">
        <f>SUM(E40:E47)</f>
        <v>129292176.00928497</v>
      </c>
      <c r="F48" s="344">
        <f t="shared" ref="F48" si="11">SUM(F40:F47)</f>
        <v>11365249.383183725</v>
      </c>
      <c r="G48" s="345">
        <f t="shared" si="10"/>
        <v>9.6375354707736519E-2</v>
      </c>
      <c r="H48"/>
    </row>
    <row r="49" spans="1:8" x14ac:dyDescent="0.25">
      <c r="A49" s="207" t="s">
        <v>25</v>
      </c>
      <c r="B49" s="146"/>
      <c r="C49" s="70">
        <v>1958727.5293450868</v>
      </c>
      <c r="D49" s="11">
        <v>2060273.3738987728</v>
      </c>
      <c r="E49" s="199">
        <v>2380953.9944553827</v>
      </c>
      <c r="F49" s="346">
        <f t="shared" ref="F49" si="12">E49-D49</f>
        <v>320680.62055660994</v>
      </c>
      <c r="G49" s="347">
        <f t="shared" ref="G49:G50" si="13">F49/D49</f>
        <v>0.15564954855955243</v>
      </c>
    </row>
    <row r="50" spans="1:8" s="6" customFormat="1" ht="15.75" thickBot="1" x14ac:dyDescent="0.3">
      <c r="A50" s="208" t="s">
        <v>26</v>
      </c>
      <c r="B50" s="147"/>
      <c r="C50" s="245">
        <f>C49+C48</f>
        <v>118717000.00400001</v>
      </c>
      <c r="D50" s="197">
        <f>D49+D48</f>
        <v>119987200.00000001</v>
      </c>
      <c r="E50" s="198">
        <f>E49+E48</f>
        <v>131673130.00374036</v>
      </c>
      <c r="F50" s="341">
        <f>F48+F49</f>
        <v>11685930.003740335</v>
      </c>
      <c r="G50" s="342">
        <f t="shared" si="13"/>
        <v>9.7393138632623596E-2</v>
      </c>
    </row>
    <row r="51" spans="1:8" ht="5.0999999999999996" customHeight="1" thickBot="1" x14ac:dyDescent="0.3">
      <c r="A51" s="248"/>
      <c r="B51" s="248"/>
      <c r="C51" s="248"/>
      <c r="D51" s="248"/>
      <c r="E51" s="248"/>
    </row>
    <row r="52" spans="1:8" ht="16.5" thickTop="1" thickBot="1" x14ac:dyDescent="0.3">
      <c r="A52" s="17" t="s">
        <v>157</v>
      </c>
      <c r="B52" s="17"/>
      <c r="F52" s="350"/>
      <c r="G52" s="350"/>
    </row>
    <row r="53" spans="1:8" x14ac:dyDescent="0.25">
      <c r="A53" s="97" t="s">
        <v>30</v>
      </c>
      <c r="B53" s="129"/>
      <c r="C53" s="97" t="s">
        <v>83</v>
      </c>
      <c r="D53" s="115" t="s">
        <v>95</v>
      </c>
      <c r="E53" s="116" t="s">
        <v>132</v>
      </c>
      <c r="F53" s="436" t="s">
        <v>156</v>
      </c>
      <c r="G53" s="429"/>
    </row>
    <row r="54" spans="1:8" x14ac:dyDescent="0.25">
      <c r="A54" s="100" t="s">
        <v>0</v>
      </c>
      <c r="B54" s="127"/>
      <c r="C54" s="11">
        <f t="shared" ref="C54:E61" si="14">C16-C40</f>
        <v>68257774.545183167</v>
      </c>
      <c r="D54" s="11">
        <f t="shared" si="14"/>
        <v>69488945.375250086</v>
      </c>
      <c r="E54" s="199">
        <f t="shared" si="14"/>
        <v>70015920.533072785</v>
      </c>
      <c r="F54" s="346">
        <f>E54-D54</f>
        <v>526975.15782269835</v>
      </c>
      <c r="G54" s="347">
        <f>F54/D54</f>
        <v>7.5835826112622424E-3</v>
      </c>
    </row>
    <row r="55" spans="1:8" x14ac:dyDescent="0.25">
      <c r="A55" s="101" t="s">
        <v>1</v>
      </c>
      <c r="B55" s="206"/>
      <c r="C55" s="11">
        <f t="shared" si="14"/>
        <v>60763088.335199937</v>
      </c>
      <c r="D55" s="11">
        <f t="shared" si="14"/>
        <v>64000123.66352801</v>
      </c>
      <c r="E55" s="199">
        <f t="shared" si="14"/>
        <v>67720742.61746189</v>
      </c>
      <c r="F55" s="346">
        <f t="shared" ref="F55:F61" si="15">E55-D55</f>
        <v>3720618.9539338797</v>
      </c>
      <c r="G55" s="347">
        <f t="shared" ref="G55:G62" si="16">F55/D55</f>
        <v>5.8134558825144317E-2</v>
      </c>
    </row>
    <row r="56" spans="1:8" x14ac:dyDescent="0.25">
      <c r="A56" s="100" t="s">
        <v>2</v>
      </c>
      <c r="B56" s="127"/>
      <c r="C56" s="11">
        <f t="shared" si="14"/>
        <v>108966617.97246328</v>
      </c>
      <c r="D56" s="11">
        <f t="shared" si="14"/>
        <v>112364636.41190501</v>
      </c>
      <c r="E56" s="199">
        <f t="shared" si="14"/>
        <v>118738375.76787382</v>
      </c>
      <c r="F56" s="346">
        <f t="shared" si="15"/>
        <v>6373739.3559688181</v>
      </c>
      <c r="G56" s="347">
        <f t="shared" si="16"/>
        <v>5.6723712722248631E-2</v>
      </c>
    </row>
    <row r="57" spans="1:8" x14ac:dyDescent="0.25">
      <c r="A57" s="100" t="s">
        <v>3</v>
      </c>
      <c r="B57" s="127"/>
      <c r="C57" s="11">
        <f t="shared" si="14"/>
        <v>118529686.59833032</v>
      </c>
      <c r="D57" s="11">
        <f t="shared" si="14"/>
        <v>121014264.60298978</v>
      </c>
      <c r="E57" s="199">
        <f t="shared" si="14"/>
        <v>124829496.08262473</v>
      </c>
      <c r="F57" s="346">
        <f t="shared" si="15"/>
        <v>3815231.4796349555</v>
      </c>
      <c r="G57" s="347">
        <f t="shared" si="16"/>
        <v>3.1527121964931536E-2</v>
      </c>
    </row>
    <row r="58" spans="1:8" x14ac:dyDescent="0.25">
      <c r="A58" s="100" t="s">
        <v>4</v>
      </c>
      <c r="B58" s="127"/>
      <c r="C58" s="11">
        <f t="shared" si="14"/>
        <v>207713738.29630211</v>
      </c>
      <c r="D58" s="11">
        <f t="shared" si="14"/>
        <v>213714608.32524413</v>
      </c>
      <c r="E58" s="199">
        <f t="shared" si="14"/>
        <v>223232391.95544288</v>
      </c>
      <c r="F58" s="346">
        <f t="shared" si="15"/>
        <v>9517783.6301987469</v>
      </c>
      <c r="G58" s="347">
        <f t="shared" si="16"/>
        <v>4.4535016603609964E-2</v>
      </c>
    </row>
    <row r="59" spans="1:8" x14ac:dyDescent="0.25">
      <c r="A59" s="100" t="s">
        <v>5</v>
      </c>
      <c r="B59" s="127"/>
      <c r="C59" s="11">
        <f t="shared" si="14"/>
        <v>44146901.924003959</v>
      </c>
      <c r="D59" s="11">
        <f t="shared" si="14"/>
        <v>45834800.25612656</v>
      </c>
      <c r="E59" s="199">
        <f t="shared" si="14"/>
        <v>49419786.117775865</v>
      </c>
      <c r="F59" s="346">
        <f t="shared" si="15"/>
        <v>3584985.8616493046</v>
      </c>
      <c r="G59" s="347">
        <f t="shared" si="16"/>
        <v>7.8215370016150851E-2</v>
      </c>
    </row>
    <row r="60" spans="1:8" x14ac:dyDescent="0.25">
      <c r="A60" s="101" t="s">
        <v>6</v>
      </c>
      <c r="B60" s="206"/>
      <c r="C60" s="11">
        <f t="shared" si="14"/>
        <v>118198571.35749432</v>
      </c>
      <c r="D60" s="11">
        <f t="shared" si="14"/>
        <v>122150656.41885456</v>
      </c>
      <c r="E60" s="199">
        <f t="shared" si="14"/>
        <v>125577260.34207559</v>
      </c>
      <c r="F60" s="346">
        <f t="shared" si="15"/>
        <v>3426603.9232210219</v>
      </c>
      <c r="G60" s="347">
        <f t="shared" si="16"/>
        <v>2.8052275965437287E-2</v>
      </c>
    </row>
    <row r="61" spans="1:8" x14ac:dyDescent="0.25">
      <c r="A61" s="326" t="s">
        <v>81</v>
      </c>
      <c r="B61" s="206"/>
      <c r="C61" s="11">
        <f t="shared" si="14"/>
        <v>90066937.976367906</v>
      </c>
      <c r="D61" s="11">
        <f t="shared" si="14"/>
        <v>92238240.050000638</v>
      </c>
      <c r="E61" s="199">
        <f t="shared" si="14"/>
        <v>96810781.808567807</v>
      </c>
      <c r="F61" s="346">
        <f t="shared" si="15"/>
        <v>4572541.7585671693</v>
      </c>
      <c r="G61" s="347">
        <f t="shared" si="16"/>
        <v>4.9573167875801613E-2</v>
      </c>
    </row>
    <row r="62" spans="1:8" ht="15.75" thickBot="1" x14ac:dyDescent="0.3">
      <c r="A62" s="195" t="s">
        <v>7</v>
      </c>
      <c r="B62" s="130"/>
      <c r="C62" s="197">
        <f>SUM(C54:C61)</f>
        <v>816643317.00534511</v>
      </c>
      <c r="D62" s="197">
        <f>SUM(D54:D61)</f>
        <v>840806275.10389876</v>
      </c>
      <c r="E62" s="198">
        <f>SUM(E54:E61)</f>
        <v>876344755.22489536</v>
      </c>
      <c r="F62" s="348">
        <f t="shared" ref="F62" si="17">SUM(F54:F61)</f>
        <v>35538480.120996594</v>
      </c>
      <c r="G62" s="349">
        <f t="shared" si="16"/>
        <v>4.226714425579791E-2</v>
      </c>
    </row>
    <row r="63" spans="1:8" customFormat="1" ht="5.0999999999999996" customHeight="1" thickBot="1" x14ac:dyDescent="0.3">
      <c r="A63" s="249"/>
      <c r="B63" s="249"/>
      <c r="C63" s="249"/>
      <c r="D63" s="249"/>
      <c r="E63" s="249"/>
      <c r="F63" s="249"/>
      <c r="G63" s="249"/>
      <c r="H63" s="249"/>
    </row>
    <row r="64" spans="1:8" ht="16.5" thickTop="1" thickBot="1" x14ac:dyDescent="0.3">
      <c r="A64" s="17" t="s">
        <v>158</v>
      </c>
      <c r="B64" s="17"/>
    </row>
    <row r="65" spans="1:8" ht="15.75" thickBot="1" x14ac:dyDescent="0.3">
      <c r="A65" s="430" t="s">
        <v>30</v>
      </c>
      <c r="B65" s="271"/>
      <c r="C65" s="432">
        <v>2023</v>
      </c>
      <c r="D65" s="433"/>
      <c r="E65" s="433"/>
      <c r="F65" s="434">
        <v>2024</v>
      </c>
      <c r="G65" s="433"/>
      <c r="H65" s="435"/>
    </row>
    <row r="66" spans="1:8" s="40" customFormat="1" x14ac:dyDescent="0.25">
      <c r="A66" s="431"/>
      <c r="C66" s="97" t="s">
        <v>68</v>
      </c>
      <c r="D66" s="115" t="s">
        <v>67</v>
      </c>
      <c r="E66" s="253" t="s">
        <v>26</v>
      </c>
      <c r="F66" s="250" t="s">
        <v>28</v>
      </c>
      <c r="G66" s="115" t="s">
        <v>29</v>
      </c>
      <c r="H66" s="116" t="s">
        <v>26</v>
      </c>
    </row>
    <row r="67" spans="1:8" x14ac:dyDescent="0.25">
      <c r="A67" s="202" t="s">
        <v>0</v>
      </c>
      <c r="B67" s="272"/>
      <c r="C67" s="70">
        <v>2913262.2841563141</v>
      </c>
      <c r="D67" s="11">
        <v>649371.60512849316</v>
      </c>
      <c r="E67" s="254">
        <f>SUM(C67:D67)</f>
        <v>3562633.8892848073</v>
      </c>
      <c r="F67" s="251">
        <f>('1.1 Objemy A JU'!$C$8/'1.1 Objemy A JU'!$C$7)*'1.1 Objemy A JU'!G13</f>
        <v>2915923.601256507</v>
      </c>
      <c r="G67" s="11">
        <f>('1.2 Objemy K JU'!$C$6/'1.2 Objemy K JU'!$C$7)*'1.2 Objemy K JU'!P13</f>
        <v>682655.12706390477</v>
      </c>
      <c r="H67" s="199">
        <f>SUM(F67:G67)</f>
        <v>3598578.7283204119</v>
      </c>
    </row>
    <row r="68" spans="1:8" x14ac:dyDescent="0.25">
      <c r="A68" s="203" t="s">
        <v>1</v>
      </c>
      <c r="B68" s="273"/>
      <c r="C68" s="70">
        <v>1721762.5422013544</v>
      </c>
      <c r="D68" s="11">
        <v>707537.2369600737</v>
      </c>
      <c r="E68" s="254">
        <f t="shared" ref="E68:E74" si="18">SUM(C68:D68)</f>
        <v>2429299.7791614281</v>
      </c>
      <c r="F68" s="251">
        <f>('1.1 Objemy A JU'!$C$8/'1.1 Objemy A JU'!$C$7)*'1.1 Objemy A JU'!G14</f>
        <v>1798553.270956707</v>
      </c>
      <c r="G68" s="11">
        <f>('1.2 Objemy K JU'!$C$6/'1.2 Objemy K JU'!$C$7)*'1.2 Objemy K JU'!P14</f>
        <v>762029.22182452679</v>
      </c>
      <c r="H68" s="199">
        <f t="shared" ref="H68:H74" si="19">SUM(F68:G68)</f>
        <v>2560582.492781234</v>
      </c>
    </row>
    <row r="69" spans="1:8" x14ac:dyDescent="0.25">
      <c r="A69" s="202" t="s">
        <v>2</v>
      </c>
      <c r="B69" s="272"/>
      <c r="C69" s="70">
        <v>1085783.5231219612</v>
      </c>
      <c r="D69" s="11">
        <v>1051868.4020130208</v>
      </c>
      <c r="E69" s="254">
        <f t="shared" si="18"/>
        <v>2137651.925134982</v>
      </c>
      <c r="F69" s="251">
        <f>('1.1 Objemy A JU'!$C$8/'1.1 Objemy A JU'!$C$7)*'1.1 Objemy A JU'!G15</f>
        <v>1084805.9734684811</v>
      </c>
      <c r="G69" s="11">
        <f>('1.2 Objemy K JU'!$C$6/'1.2 Objemy K JU'!$C$7)*'1.2 Objemy K JU'!P15</f>
        <v>1157413.4701037111</v>
      </c>
      <c r="H69" s="199">
        <f t="shared" si="19"/>
        <v>2242219.4435721925</v>
      </c>
    </row>
    <row r="70" spans="1:8" x14ac:dyDescent="0.25">
      <c r="A70" s="202" t="s">
        <v>3</v>
      </c>
      <c r="B70" s="272"/>
      <c r="C70" s="70">
        <v>5719095.3775747186</v>
      </c>
      <c r="D70" s="11">
        <v>826173.7526987131</v>
      </c>
      <c r="E70" s="254">
        <f t="shared" si="18"/>
        <v>6545269.1302734315</v>
      </c>
      <c r="F70" s="251">
        <f>('1.1 Objemy A JU'!$C$8/'1.1 Objemy A JU'!$C$7)*'1.1 Objemy A JU'!G16</f>
        <v>5810160.6106437091</v>
      </c>
      <c r="G70" s="11">
        <f>('1.2 Objemy K JU'!$C$6/'1.2 Objemy K JU'!$C$7)*'1.2 Objemy K JU'!P16</f>
        <v>885581.37765975995</v>
      </c>
      <c r="H70" s="199">
        <f t="shared" si="19"/>
        <v>6695741.9883034695</v>
      </c>
    </row>
    <row r="71" spans="1:8" x14ac:dyDescent="0.25">
      <c r="A71" s="202" t="s">
        <v>4</v>
      </c>
      <c r="B71" s="272"/>
      <c r="C71" s="70">
        <v>4570408.6082029603</v>
      </c>
      <c r="D71" s="11">
        <v>1817536.829762524</v>
      </c>
      <c r="E71" s="254">
        <f t="shared" si="18"/>
        <v>6387945.4379654843</v>
      </c>
      <c r="F71" s="251">
        <f>('1.1 Objemy A JU'!$C$8/'1.1 Objemy A JU'!$C$7)*'1.1 Objemy A JU'!G17</f>
        <v>4744333.6315290574</v>
      </c>
      <c r="G71" s="11">
        <f>('1.2 Objemy K JU'!$C$6/'1.2 Objemy K JU'!$C$7)*'1.2 Objemy K JU'!P17</f>
        <v>1923357.1079099171</v>
      </c>
      <c r="H71" s="199">
        <f t="shared" si="19"/>
        <v>6667690.7394389743</v>
      </c>
    </row>
    <row r="72" spans="1:8" x14ac:dyDescent="0.25">
      <c r="A72" s="202" t="s">
        <v>5</v>
      </c>
      <c r="B72" s="272"/>
      <c r="C72" s="70">
        <v>1469704.136889217</v>
      </c>
      <c r="D72" s="11">
        <v>370077.70187518356</v>
      </c>
      <c r="E72" s="254">
        <f t="shared" si="18"/>
        <v>1839781.8387644005</v>
      </c>
      <c r="F72" s="251">
        <f>('1.1 Objemy A JU'!$C$8/'1.1 Objemy A JU'!$C$7)*'1.1 Objemy A JU'!G18</f>
        <v>1515737.4713731166</v>
      </c>
      <c r="G72" s="11">
        <f>('1.2 Objemy K JU'!$C$6/'1.2 Objemy K JU'!$C$7)*'1.2 Objemy K JU'!P18</f>
        <v>382403.53371950769</v>
      </c>
      <c r="H72" s="199">
        <f t="shared" si="19"/>
        <v>1898141.0050926243</v>
      </c>
    </row>
    <row r="73" spans="1:8" x14ac:dyDescent="0.25">
      <c r="A73" s="203" t="s">
        <v>6</v>
      </c>
      <c r="B73" s="273"/>
      <c r="C73" s="70">
        <v>6159679.5154232765</v>
      </c>
      <c r="D73" s="11">
        <v>477909.68203281937</v>
      </c>
      <c r="E73" s="254">
        <f t="shared" si="18"/>
        <v>6637589.1974560954</v>
      </c>
      <c r="F73" s="251">
        <f>('1.1 Objemy A JU'!$C$8/'1.1 Objemy A JU'!$C$7)*'1.1 Objemy A JU'!G19</f>
        <v>6307267.0728785787</v>
      </c>
      <c r="G73" s="11">
        <f>('1.2 Objemy K JU'!$C$6/'1.2 Objemy K JU'!$C$7)*'1.2 Objemy K JU'!P19</f>
        <v>509928.86176601291</v>
      </c>
      <c r="H73" s="199">
        <f t="shared" si="19"/>
        <v>6817195.934644592</v>
      </c>
    </row>
    <row r="74" spans="1:8" x14ac:dyDescent="0.25">
      <c r="A74" s="343" t="s">
        <v>81</v>
      </c>
      <c r="B74" s="273"/>
      <c r="C74" s="70">
        <v>4050645.8124302081</v>
      </c>
      <c r="D74" s="11">
        <v>586394.93952917261</v>
      </c>
      <c r="E74" s="254">
        <f t="shared" si="18"/>
        <v>4637040.7519593807</v>
      </c>
      <c r="F74" s="251">
        <f>('1.1 Objemy A JU'!$C$8/'1.1 Objemy A JU'!$C$7)*'1.1 Objemy A JU'!G20</f>
        <v>4230265.2678938182</v>
      </c>
      <c r="G74" s="11">
        <f>('1.2 Objemy K JU'!$C$6/'1.2 Objemy K JU'!$C$7)*'1.2 Objemy K JU'!P20</f>
        <v>620821.8999526581</v>
      </c>
      <c r="H74" s="199">
        <f t="shared" si="19"/>
        <v>4851087.1678464767</v>
      </c>
    </row>
    <row r="75" spans="1:8" s="6" customFormat="1" ht="15.75" thickBot="1" x14ac:dyDescent="0.3">
      <c r="A75" s="275" t="s">
        <v>26</v>
      </c>
      <c r="B75" s="274"/>
      <c r="C75" s="245">
        <f t="shared" ref="C75:H75" si="20">SUM(C67:C74)</f>
        <v>27690341.800000008</v>
      </c>
      <c r="D75" s="197">
        <f t="shared" si="20"/>
        <v>6486870.1500000004</v>
      </c>
      <c r="E75" s="255">
        <f t="shared" si="20"/>
        <v>34177211.95000001</v>
      </c>
      <c r="F75" s="252">
        <f t="shared" si="20"/>
        <v>28407046.899999972</v>
      </c>
      <c r="G75" s="197">
        <f t="shared" si="20"/>
        <v>6924190.5999999996</v>
      </c>
      <c r="H75" s="198">
        <f t="shared" si="20"/>
        <v>35331237.499999978</v>
      </c>
    </row>
  </sheetData>
  <mergeCells count="6">
    <mergeCell ref="F15:G15"/>
    <mergeCell ref="A65:A66"/>
    <mergeCell ref="C65:E65"/>
    <mergeCell ref="F65:H65"/>
    <mergeCell ref="F39:G39"/>
    <mergeCell ref="F53:G53"/>
  </mergeCells>
  <pageMargins left="0.7" right="0.7" top="0.78740157499999996" bottom="0.78740157499999996" header="0.3" footer="0.3"/>
  <pageSetup paperSize="9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D805EFB38A8D439074FEE75F7447D7" ma:contentTypeVersion="2" ma:contentTypeDescription="Vytvoří nový dokument" ma:contentTypeScope="" ma:versionID="92168eef88433f35690fdeaddd98c2e1">
  <xsd:schema xmlns:xsd="http://www.w3.org/2001/XMLSchema" xmlns:xs="http://www.w3.org/2001/XMLSchema" xmlns:p="http://schemas.microsoft.com/office/2006/metadata/properties" xmlns:ns2="253febbb-0e1e-41dd-8751-01c32cbfc3a5" targetNamespace="http://schemas.microsoft.com/office/2006/metadata/properties" ma:root="true" ma:fieldsID="ddc83baf9cfb7fbd79ba064dd1b3d2ec" ns2:_="">
    <xsd:import namespace="253febbb-0e1e-41dd-8751-01c32cbfc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febbb-0e1e-41dd-8751-01c32cbfc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4FAC87-E3FF-4A26-95A0-C5E208E54E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53febbb-0e1e-41dd-8751-01c32cbfc3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A868CA-F438-4E07-88FB-98CB15FE26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3E12C5-1577-40D8-87E1-F3B67A91E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febbb-0e1e-41dd-8751-01c32cbfc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Obsah</vt:lpstr>
      <vt:lpstr>1.1 Objemy A JU</vt:lpstr>
      <vt:lpstr>1.2 Objemy K JU</vt:lpstr>
      <vt:lpstr>1.3 A+K 2023</vt:lpstr>
      <vt:lpstr>1.4 F-Koheze</vt:lpstr>
      <vt:lpstr>2 Dotace na RVO</vt:lpstr>
      <vt:lpstr>3 Rekapituace</vt:lpstr>
      <vt:lpstr>'3 Rekapituace'!Oblast_tisku</vt:lpstr>
      <vt:lpstr>'3 Rekapituace'!Print_Area</vt:lpstr>
    </vt:vector>
  </TitlesOfParts>
  <Company>JCU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Kropáčková Hana Ing.</dc:creator>
  <cp:lastModifiedBy>Friedrich Jakub</cp:lastModifiedBy>
  <cp:lastPrinted>2021-03-04T13:42:02Z</cp:lastPrinted>
  <dcterms:created xsi:type="dcterms:W3CDTF">2019-02-20T12:58:44Z</dcterms:created>
  <dcterms:modified xsi:type="dcterms:W3CDTF">2024-06-14T08:02:59Z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0x010100C8D805EFB38A8D439074FEE75F7447D7</vt:lpwstr>
  </property>
</Properties>
</file>