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ATRIOT_dvojče\Rozpočet\Rozpoč17\Příprava 2017\"/>
    </mc:Choice>
  </mc:AlternateContent>
  <bookViews>
    <workbookView xWindow="0" yWindow="0" windowWidth="20490" windowHeight="8340"/>
  </bookViews>
  <sheets>
    <sheet name="1 Příspěvek 2017" sheetId="4" r:id="rId1"/>
    <sheet name="2 Dotace na RVO 2017" sheetId="3" r:id="rId2"/>
    <sheet name="3 Plánované náklady R a AK 2017" sheetId="2" r:id="rId3"/>
    <sheet name="4 Alokace nákladů R a AK" sheetId="1" r:id="rId4"/>
    <sheet name="5 Rekapitulace 2017" sheetId="5" r:id="rId5"/>
  </sheets>
  <definedNames>
    <definedName name="_xlnm.Print_Titles" localSheetId="2">'3 Plánované náklady R a AK 2017'!$3:$4</definedName>
    <definedName name="_xlnm.Print_Titles" localSheetId="3">'4 Alokace nákladů R a AK'!$A:$B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2" l="1"/>
  <c r="F14" i="5" l="1"/>
  <c r="F17" i="5" s="1"/>
  <c r="E13" i="5" l="1"/>
  <c r="E12" i="5"/>
  <c r="E11" i="5"/>
  <c r="E10" i="5"/>
  <c r="E9" i="5"/>
  <c r="E8" i="5"/>
  <c r="E7" i="5"/>
  <c r="E6" i="5"/>
  <c r="E14" i="5" s="1"/>
  <c r="D17" i="5"/>
  <c r="C17" i="5"/>
  <c r="B17" i="5"/>
  <c r="D14" i="5"/>
  <c r="C14" i="5"/>
  <c r="B14" i="5"/>
  <c r="E17" i="5" l="1"/>
  <c r="G15" i="4"/>
  <c r="G17" i="4" s="1"/>
  <c r="F15" i="4"/>
  <c r="F17" i="4" s="1"/>
  <c r="D15" i="4"/>
  <c r="D17" i="4" s="1"/>
  <c r="C15" i="4"/>
  <c r="C17" i="4" s="1"/>
  <c r="B15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E15" i="4" s="1"/>
  <c r="H7" i="4"/>
  <c r="E7" i="4"/>
  <c r="I19" i="3"/>
  <c r="H18" i="3"/>
  <c r="H20" i="3" s="1"/>
  <c r="F18" i="3"/>
  <c r="F20" i="3" s="1"/>
  <c r="E18" i="3"/>
  <c r="E20" i="3" s="1"/>
  <c r="D18" i="3"/>
  <c r="D20" i="3" s="1"/>
  <c r="C18" i="3"/>
  <c r="C20" i="3" s="1"/>
  <c r="B18" i="3"/>
  <c r="B20" i="3" s="1"/>
  <c r="G17" i="3"/>
  <c r="I17" i="3" s="1"/>
  <c r="G16" i="3"/>
  <c r="I16" i="3" s="1"/>
  <c r="G15" i="3"/>
  <c r="G14" i="3"/>
  <c r="I14" i="3" s="1"/>
  <c r="G13" i="3"/>
  <c r="I13" i="3" s="1"/>
  <c r="G12" i="3"/>
  <c r="I12" i="3" s="1"/>
  <c r="G11" i="3"/>
  <c r="G10" i="3"/>
  <c r="I10" i="3" s="1"/>
  <c r="J8" i="4" l="1"/>
  <c r="J10" i="4"/>
  <c r="J12" i="4"/>
  <c r="J14" i="4"/>
  <c r="J7" i="4"/>
  <c r="J9" i="4"/>
  <c r="J11" i="4"/>
  <c r="J13" i="4"/>
  <c r="I7" i="4"/>
  <c r="I8" i="4"/>
  <c r="I9" i="4"/>
  <c r="I10" i="4"/>
  <c r="I11" i="4"/>
  <c r="I12" i="4"/>
  <c r="I13" i="4"/>
  <c r="I14" i="4"/>
  <c r="H15" i="4"/>
  <c r="H17" i="4" s="1"/>
  <c r="I17" i="4" s="1"/>
  <c r="E17" i="4"/>
  <c r="J17" i="4" s="1"/>
  <c r="I11" i="3"/>
  <c r="G18" i="3"/>
  <c r="I15" i="3"/>
  <c r="J15" i="4" l="1"/>
  <c r="I15" i="4"/>
  <c r="I18" i="3"/>
  <c r="G20" i="3"/>
  <c r="I20" i="3" s="1"/>
  <c r="L73" i="2" l="1"/>
  <c r="J73" i="2"/>
  <c r="I73" i="2"/>
  <c r="D70" i="2"/>
  <c r="D69" i="2"/>
  <c r="H68" i="2"/>
  <c r="F68" i="2" s="1"/>
  <c r="D68" i="2"/>
  <c r="H67" i="2"/>
  <c r="F67" i="2" s="1"/>
  <c r="D67" i="2"/>
  <c r="D66" i="2"/>
  <c r="H65" i="2"/>
  <c r="F65" i="2" s="1"/>
  <c r="D65" i="2"/>
  <c r="H64" i="2"/>
  <c r="F64" i="2" s="1"/>
  <c r="D64" i="2"/>
  <c r="G63" i="2"/>
  <c r="H63" i="2" s="1"/>
  <c r="E63" i="2"/>
  <c r="D63" i="2" s="1"/>
  <c r="H62" i="2"/>
  <c r="F62" i="2" s="1"/>
  <c r="D62" i="2"/>
  <c r="H61" i="2"/>
  <c r="F61" i="2" s="1"/>
  <c r="D61" i="2"/>
  <c r="H60" i="2"/>
  <c r="F60" i="2" s="1"/>
  <c r="D60" i="2"/>
  <c r="H59" i="2"/>
  <c r="F59" i="2" s="1"/>
  <c r="D59" i="2"/>
  <c r="H58" i="2"/>
  <c r="F58" i="2" s="1"/>
  <c r="D58" i="2"/>
  <c r="H57" i="2"/>
  <c r="E57" i="2"/>
  <c r="D57" i="2" s="1"/>
  <c r="H56" i="2"/>
  <c r="F56" i="2" s="1"/>
  <c r="D56" i="2"/>
  <c r="H55" i="2"/>
  <c r="E55" i="2"/>
  <c r="D55" i="2" s="1"/>
  <c r="H54" i="2"/>
  <c r="F54" i="2" s="1"/>
  <c r="D54" i="2"/>
  <c r="H53" i="2"/>
  <c r="F53" i="2" s="1"/>
  <c r="D53" i="2"/>
  <c r="H52" i="2"/>
  <c r="F52" i="2" s="1"/>
  <c r="D52" i="2"/>
  <c r="H51" i="2"/>
  <c r="F51" i="2" s="1"/>
  <c r="D51" i="2"/>
  <c r="H50" i="2"/>
  <c r="F50" i="2" s="1"/>
  <c r="D50" i="2"/>
  <c r="H49" i="2"/>
  <c r="F49" i="2" s="1"/>
  <c r="D49" i="2"/>
  <c r="H48" i="2"/>
  <c r="F48" i="2" s="1"/>
  <c r="D48" i="2"/>
  <c r="H47" i="2"/>
  <c r="F47" i="2" s="1"/>
  <c r="D47" i="2"/>
  <c r="H46" i="2"/>
  <c r="E46" i="2"/>
  <c r="D46" i="2" s="1"/>
  <c r="H45" i="2"/>
  <c r="F45" i="2" s="1"/>
  <c r="D45" i="2"/>
  <c r="H44" i="2"/>
  <c r="F44" i="2" s="1"/>
  <c r="D44" i="2"/>
  <c r="G43" i="2"/>
  <c r="H43" i="2" s="1"/>
  <c r="F43" i="2" s="1"/>
  <c r="D43" i="2"/>
  <c r="H42" i="2"/>
  <c r="F42" i="2" s="1"/>
  <c r="D42" i="2"/>
  <c r="H41" i="2"/>
  <c r="F41" i="2" s="1"/>
  <c r="D41" i="2"/>
  <c r="H40" i="2"/>
  <c r="F40" i="2" s="1"/>
  <c r="D40" i="2"/>
  <c r="H39" i="2"/>
  <c r="E39" i="2"/>
  <c r="D39" i="2" s="1"/>
  <c r="H38" i="2"/>
  <c r="F38" i="2" s="1"/>
  <c r="D38" i="2"/>
  <c r="H37" i="2"/>
  <c r="F37" i="2" s="1"/>
  <c r="D37" i="2"/>
  <c r="H36" i="2"/>
  <c r="F36" i="2" s="1"/>
  <c r="D36" i="2"/>
  <c r="H35" i="2"/>
  <c r="E35" i="2"/>
  <c r="D35" i="2" s="1"/>
  <c r="H34" i="2"/>
  <c r="F34" i="2" s="1"/>
  <c r="D34" i="2"/>
  <c r="H33" i="2"/>
  <c r="F33" i="2" s="1"/>
  <c r="D33" i="2"/>
  <c r="H32" i="2"/>
  <c r="F32" i="2" s="1"/>
  <c r="D32" i="2"/>
  <c r="H31" i="2"/>
  <c r="F31" i="2" s="1"/>
  <c r="D31" i="2"/>
  <c r="H30" i="2"/>
  <c r="F30" i="2" s="1"/>
  <c r="D30" i="2"/>
  <c r="H29" i="2"/>
  <c r="F29" i="2" s="1"/>
  <c r="D29" i="2"/>
  <c r="H28" i="2"/>
  <c r="F28" i="2" s="1"/>
  <c r="H27" i="2"/>
  <c r="F27" i="2" s="1"/>
  <c r="D27" i="2"/>
  <c r="H26" i="2"/>
  <c r="F26" i="2" s="1"/>
  <c r="D26" i="2"/>
  <c r="H25" i="2"/>
  <c r="F25" i="2" s="1"/>
  <c r="D25" i="2"/>
  <c r="H24" i="2"/>
  <c r="E24" i="2"/>
  <c r="D24" i="2" s="1"/>
  <c r="H23" i="2"/>
  <c r="F23" i="2" s="1"/>
  <c r="D23" i="2"/>
  <c r="H22" i="2"/>
  <c r="F22" i="2" s="1"/>
  <c r="D22" i="2"/>
  <c r="H21" i="2"/>
  <c r="F21" i="2" s="1"/>
  <c r="D21" i="2"/>
  <c r="H20" i="2"/>
  <c r="F20" i="2" s="1"/>
  <c r="D20" i="2"/>
  <c r="H19" i="2"/>
  <c r="F19" i="2" s="1"/>
  <c r="D19" i="2"/>
  <c r="H18" i="2"/>
  <c r="F18" i="2" s="1"/>
  <c r="D18" i="2"/>
  <c r="H17" i="2"/>
  <c r="F17" i="2" s="1"/>
  <c r="D17" i="2"/>
  <c r="H16" i="2"/>
  <c r="F16" i="2" s="1"/>
  <c r="D16" i="2"/>
  <c r="G15" i="2"/>
  <c r="H15" i="2" s="1"/>
  <c r="E15" i="2"/>
  <c r="D15" i="2" s="1"/>
  <c r="H14" i="2"/>
  <c r="F14" i="2" s="1"/>
  <c r="D14" i="2"/>
  <c r="G13" i="2"/>
  <c r="H13" i="2" s="1"/>
  <c r="F13" i="2" s="1"/>
  <c r="D13" i="2"/>
  <c r="H12" i="2"/>
  <c r="F12" i="2" s="1"/>
  <c r="D12" i="2"/>
  <c r="H11" i="2"/>
  <c r="F11" i="2" s="1"/>
  <c r="D11" i="2"/>
  <c r="H10" i="2"/>
  <c r="E10" i="2"/>
  <c r="C10" i="2"/>
  <c r="H9" i="2"/>
  <c r="F9" i="2" s="1"/>
  <c r="D9" i="2"/>
  <c r="H8" i="2"/>
  <c r="F8" i="2" s="1"/>
  <c r="D8" i="2"/>
  <c r="H7" i="2"/>
  <c r="F7" i="2" s="1"/>
  <c r="D7" i="2"/>
  <c r="G6" i="2"/>
  <c r="H6" i="2" s="1"/>
  <c r="E6" i="2"/>
  <c r="C6" i="2"/>
  <c r="K5" i="2"/>
  <c r="K73" i="2" s="1"/>
  <c r="G5" i="2"/>
  <c r="D5" i="2"/>
  <c r="F55" i="2" l="1"/>
  <c r="F57" i="2"/>
  <c r="F63" i="2"/>
  <c r="H5" i="2"/>
  <c r="F5" i="2" s="1"/>
  <c r="F6" i="2"/>
  <c r="F10" i="2"/>
  <c r="F24" i="2"/>
  <c r="F46" i="2"/>
  <c r="F35" i="2"/>
  <c r="F39" i="2"/>
  <c r="F15" i="2"/>
  <c r="C73" i="2"/>
  <c r="D10" i="2"/>
  <c r="G73" i="2"/>
  <c r="D6" i="2"/>
  <c r="E73" i="2"/>
  <c r="H73" i="2" l="1"/>
  <c r="F73" i="2"/>
  <c r="D73" i="2"/>
  <c r="H56" i="1" l="1"/>
  <c r="U54" i="1"/>
  <c r="R54" i="1"/>
  <c r="O54" i="1"/>
  <c r="N54" i="1"/>
  <c r="M54" i="1"/>
  <c r="L54" i="1"/>
  <c r="K54" i="1"/>
  <c r="K56" i="1" s="1"/>
  <c r="J54" i="1"/>
  <c r="J56" i="1" s="1"/>
  <c r="I54" i="1"/>
  <c r="I56" i="1" s="1"/>
  <c r="H54" i="1"/>
  <c r="E54" i="1"/>
  <c r="S53" i="1"/>
  <c r="Q53" i="1"/>
  <c r="G53" i="1"/>
  <c r="G54" i="1" s="1"/>
  <c r="F53" i="1"/>
  <c r="F54" i="1" s="1"/>
  <c r="Q52" i="1"/>
  <c r="P52" i="1"/>
  <c r="S52" i="1" s="1"/>
  <c r="Q51" i="1"/>
  <c r="P51" i="1"/>
  <c r="S51" i="1" s="1"/>
  <c r="Q50" i="1"/>
  <c r="P50" i="1"/>
  <c r="S50" i="1" s="1"/>
  <c r="S49" i="1"/>
  <c r="Q49" i="1"/>
  <c r="P49" i="1"/>
  <c r="S48" i="1"/>
  <c r="Q48" i="1"/>
  <c r="P48" i="1"/>
  <c r="Q47" i="1"/>
  <c r="P47" i="1"/>
  <c r="S47" i="1" s="1"/>
  <c r="Q46" i="1"/>
  <c r="P46" i="1"/>
  <c r="S46" i="1" s="1"/>
  <c r="Q45" i="1"/>
  <c r="P45" i="1"/>
  <c r="S45" i="1" s="1"/>
  <c r="Q44" i="1"/>
  <c r="P44" i="1"/>
  <c r="S44" i="1" s="1"/>
  <c r="S43" i="1"/>
  <c r="Q43" i="1"/>
  <c r="P43" i="1"/>
  <c r="AB40" i="1"/>
  <c r="Z40" i="1"/>
  <c r="X40" i="1"/>
  <c r="V40" i="1"/>
  <c r="T40" i="1"/>
  <c r="R40" i="1"/>
  <c r="O40" i="1"/>
  <c r="L40" i="1"/>
  <c r="F40" i="1"/>
  <c r="E40" i="1"/>
  <c r="A40" i="1"/>
  <c r="P39" i="1"/>
  <c r="S39" i="1" s="1"/>
  <c r="Q39" i="1"/>
  <c r="A39" i="1"/>
  <c r="Q38" i="1"/>
  <c r="P38" i="1"/>
  <c r="S38" i="1" s="1"/>
  <c r="N40" i="1"/>
  <c r="M37" i="1"/>
  <c r="Q37" i="1" s="1"/>
  <c r="G40" i="1"/>
  <c r="A37" i="1"/>
  <c r="R35" i="1"/>
  <c r="N35" i="1"/>
  <c r="M35" i="1"/>
  <c r="L35" i="1"/>
  <c r="L56" i="1" s="1"/>
  <c r="F35" i="1"/>
  <c r="E35" i="1"/>
  <c r="Q34" i="1"/>
  <c r="P34" i="1"/>
  <c r="S34" i="1" s="1"/>
  <c r="Q33" i="1"/>
  <c r="P33" i="1"/>
  <c r="G35" i="1"/>
  <c r="R31" i="1"/>
  <c r="M31" i="1"/>
  <c r="F31" i="1"/>
  <c r="E31" i="1"/>
  <c r="A31" i="1"/>
  <c r="P30" i="1"/>
  <c r="S30" i="1" s="1"/>
  <c r="Q29" i="1"/>
  <c r="A29" i="1"/>
  <c r="P28" i="1"/>
  <c r="S28" i="1" s="1"/>
  <c r="Q28" i="1"/>
  <c r="A28" i="1"/>
  <c r="Q27" i="1"/>
  <c r="P27" i="1"/>
  <c r="S27" i="1" s="1"/>
  <c r="A27" i="1"/>
  <c r="P26" i="1"/>
  <c r="S26" i="1" s="1"/>
  <c r="Q26" i="1"/>
  <c r="A26" i="1"/>
  <c r="S25" i="1"/>
  <c r="Q25" i="1"/>
  <c r="P25" i="1"/>
  <c r="A25" i="1"/>
  <c r="P24" i="1"/>
  <c r="S24" i="1" s="1"/>
  <c r="Q24" i="1"/>
  <c r="A24" i="1"/>
  <c r="Q23" i="1"/>
  <c r="P23" i="1"/>
  <c r="S23" i="1" s="1"/>
  <c r="A23" i="1"/>
  <c r="P22" i="1"/>
  <c r="S22" i="1" s="1"/>
  <c r="Q22" i="1"/>
  <c r="A22" i="1"/>
  <c r="Q21" i="1"/>
  <c r="P21" i="1"/>
  <c r="S21" i="1" s="1"/>
  <c r="A21" i="1"/>
  <c r="P20" i="1"/>
  <c r="S20" i="1" s="1"/>
  <c r="O31" i="1"/>
  <c r="A20" i="1"/>
  <c r="Q19" i="1"/>
  <c r="A19" i="1"/>
  <c r="Q18" i="1"/>
  <c r="P18" i="1"/>
  <c r="G31" i="1"/>
  <c r="A18" i="1"/>
  <c r="R16" i="1"/>
  <c r="O16" i="1"/>
  <c r="F16" i="1"/>
  <c r="E16" i="1"/>
  <c r="A16" i="1"/>
  <c r="Q15" i="1"/>
  <c r="P15" i="1"/>
  <c r="S15" i="1" s="1"/>
  <c r="A15" i="1"/>
  <c r="N16" i="1"/>
  <c r="M14" i="1"/>
  <c r="P14" i="1" s="1"/>
  <c r="G16" i="1"/>
  <c r="A14" i="1"/>
  <c r="R12" i="1"/>
  <c r="M12" i="1"/>
  <c r="G12" i="1"/>
  <c r="F12" i="1"/>
  <c r="E12" i="1"/>
  <c r="A12" i="1"/>
  <c r="S11" i="1"/>
  <c r="Q11" i="1"/>
  <c r="P11" i="1"/>
  <c r="A11" i="1"/>
  <c r="O12" i="1"/>
  <c r="Q10" i="1"/>
  <c r="Q12" i="1" s="1"/>
  <c r="R8" i="1"/>
  <c r="R56" i="1" s="1"/>
  <c r="N8" i="1"/>
  <c r="M8" i="1"/>
  <c r="G8" i="1"/>
  <c r="F8" i="1"/>
  <c r="E8" i="1"/>
  <c r="A8" i="1"/>
  <c r="Q7" i="1"/>
  <c r="P7" i="1"/>
  <c r="S7" i="1" s="1"/>
  <c r="A7" i="1"/>
  <c r="P6" i="1"/>
  <c r="O8" i="1"/>
  <c r="S5" i="1"/>
  <c r="F56" i="1" l="1"/>
  <c r="P54" i="1"/>
  <c r="Q54" i="1"/>
  <c r="P8" i="1"/>
  <c r="E56" i="1"/>
  <c r="Q35" i="1"/>
  <c r="Q40" i="1"/>
  <c r="G56" i="1"/>
  <c r="S18" i="1"/>
  <c r="Q31" i="1"/>
  <c r="S33" i="1"/>
  <c r="S35" i="1" s="1"/>
  <c r="P35" i="1"/>
  <c r="S54" i="1"/>
  <c r="P16" i="1"/>
  <c r="S14" i="1"/>
  <c r="S16" i="1" s="1"/>
  <c r="Q14" i="1"/>
  <c r="Q16" i="1" s="1"/>
  <c r="N31" i="1"/>
  <c r="Q6" i="1"/>
  <c r="Q8" i="1" s="1"/>
  <c r="P19" i="1"/>
  <c r="S19" i="1" s="1"/>
  <c r="Q20" i="1"/>
  <c r="O35" i="1"/>
  <c r="O41" i="1" s="1"/>
  <c r="E41" i="1"/>
  <c r="R41" i="1"/>
  <c r="M40" i="1"/>
  <c r="S6" i="1"/>
  <c r="S8" i="1" s="1"/>
  <c r="P10" i="1"/>
  <c r="N12" i="1"/>
  <c r="M16" i="1"/>
  <c r="M41" i="1" s="1"/>
  <c r="P29" i="1"/>
  <c r="S29" i="1" s="1"/>
  <c r="P37" i="1"/>
  <c r="F41" i="1"/>
  <c r="G41" i="1"/>
  <c r="O56" i="1" l="1"/>
  <c r="N56" i="1"/>
  <c r="N41" i="1"/>
  <c r="T8" i="1"/>
  <c r="Q41" i="1"/>
  <c r="Q56" i="1"/>
  <c r="M56" i="1"/>
  <c r="S10" i="1"/>
  <c r="S12" i="1" s="1"/>
  <c r="P12" i="1"/>
  <c r="S31" i="1"/>
  <c r="P40" i="1"/>
  <c r="S37" i="1"/>
  <c r="S40" i="1" s="1"/>
  <c r="P31" i="1"/>
  <c r="S56" i="1" l="1"/>
  <c r="AF57" i="1" s="1"/>
  <c r="U31" i="1"/>
  <c r="U40" i="1"/>
  <c r="U16" i="1"/>
  <c r="U12" i="1"/>
  <c r="P41" i="1"/>
  <c r="P56" i="1"/>
  <c r="S41" i="1"/>
  <c r="U56" i="1" l="1"/>
  <c r="V12" i="1"/>
  <c r="W53" i="1" l="1"/>
  <c r="W50" i="1"/>
  <c r="W46" i="1"/>
  <c r="W31" i="1"/>
  <c r="W49" i="1"/>
  <c r="W45" i="1"/>
  <c r="W44" i="1"/>
  <c r="W43" i="1"/>
  <c r="W40" i="1"/>
  <c r="W35" i="1"/>
  <c r="W16" i="1"/>
  <c r="W51" i="1"/>
  <c r="W47" i="1"/>
  <c r="W52" i="1"/>
  <c r="W48" i="1"/>
  <c r="X16" i="1" l="1"/>
  <c r="W54" i="1"/>
  <c r="W56" i="1" s="1"/>
  <c r="Y49" i="1" l="1"/>
  <c r="Y45" i="1"/>
  <c r="Y44" i="1"/>
  <c r="Y43" i="1"/>
  <c r="Y35" i="1"/>
  <c r="Y52" i="1"/>
  <c r="Y48" i="1"/>
  <c r="Y50" i="1"/>
  <c r="Y46" i="1"/>
  <c r="Y31" i="1"/>
  <c r="Y51" i="1"/>
  <c r="Y47" i="1"/>
  <c r="Y53" i="1"/>
  <c r="Y40" i="1"/>
  <c r="Z31" i="1" l="1"/>
  <c r="Y54" i="1"/>
  <c r="Y56" i="1" s="1"/>
  <c r="AA52" i="1" l="1"/>
  <c r="AA48" i="1"/>
  <c r="AA51" i="1"/>
  <c r="AA47" i="1"/>
  <c r="AA40" i="1"/>
  <c r="AD40" i="1" s="1"/>
  <c r="AA49" i="1"/>
  <c r="AA45" i="1"/>
  <c r="AA44" i="1"/>
  <c r="AA35" i="1"/>
  <c r="AA53" i="1"/>
  <c r="AF53" i="1" s="1"/>
  <c r="AA50" i="1"/>
  <c r="AA46" i="1"/>
  <c r="AA43" i="1"/>
  <c r="AA54" i="1" l="1"/>
  <c r="AA56" i="1" s="1"/>
  <c r="AB35" i="1"/>
  <c r="AE50" i="1"/>
  <c r="AE46" i="1"/>
  <c r="AE49" i="1"/>
  <c r="AE45" i="1"/>
  <c r="AE51" i="1"/>
  <c r="AE47" i="1"/>
  <c r="AE52" i="1"/>
  <c r="AE48" i="1"/>
  <c r="AE54" i="1" l="1"/>
  <c r="AE56" i="1" s="1"/>
  <c r="AC51" i="1"/>
  <c r="AF51" i="1" s="1"/>
  <c r="AC47" i="1"/>
  <c r="AF47" i="1" s="1"/>
  <c r="AC50" i="1"/>
  <c r="AF50" i="1" s="1"/>
  <c r="AC46" i="1"/>
  <c r="AF46" i="1" s="1"/>
  <c r="AC52" i="1"/>
  <c r="AF52" i="1" s="1"/>
  <c r="AC48" i="1"/>
  <c r="AF48" i="1" s="1"/>
  <c r="AC49" i="1"/>
  <c r="AF49" i="1" s="1"/>
  <c r="AC45" i="1"/>
  <c r="AF45" i="1" s="1"/>
  <c r="AC44" i="1"/>
  <c r="AF44" i="1" s="1"/>
  <c r="AC43" i="1"/>
  <c r="AC54" i="1" l="1"/>
  <c r="AC56" i="1" s="1"/>
  <c r="AF43" i="1"/>
  <c r="AF54" i="1" s="1"/>
  <c r="AF56" i="1" s="1"/>
</calcChain>
</file>

<file path=xl/sharedStrings.xml><?xml version="1.0" encoding="utf-8"?>
<sst xmlns="http://schemas.openxmlformats.org/spreadsheetml/2006/main" count="917" uniqueCount="304">
  <si>
    <t>Součást</t>
  </si>
  <si>
    <t>Nákladové středisko</t>
  </si>
  <si>
    <t>Poznámka k NS</t>
  </si>
  <si>
    <t>Odpovídající číslo NS z IS i FIS</t>
  </si>
  <si>
    <r>
      <t>Plocha (m</t>
    </r>
    <r>
      <rPr>
        <vertAlign val="superscript"/>
        <sz val="8"/>
        <color theme="0"/>
        <rFont val="Arial"/>
        <family val="2"/>
        <charset val="238"/>
      </rPr>
      <t>2</t>
    </r>
    <r>
      <rPr>
        <sz val="8"/>
        <color theme="0"/>
        <rFont val="Arial"/>
        <family val="2"/>
        <charset val="238"/>
      </rPr>
      <t>) (AMI)</t>
    </r>
  </si>
  <si>
    <t>Fyzický počet zaměstnanců k 31.12.2016</t>
  </si>
  <si>
    <t>Průměrný evidenční přepočtený počet zaměstnanců 2016</t>
  </si>
  <si>
    <t>Počet studentů prezenčního studia - SIMS k 31.12.2016</t>
  </si>
  <si>
    <t>Počet studentů kombin. studia - SIMS k 31.12.2016</t>
  </si>
  <si>
    <t>Počet grantů (předchozích 5 let - 2012 až 2016)</t>
  </si>
  <si>
    <t>Objem grantů (předchozích 5 let - 2012 až 2016) v tis. Kč</t>
  </si>
  <si>
    <t>přepočtené úvazky na vědu a výzkum</t>
  </si>
  <si>
    <t>Přímé náklady osobní</t>
  </si>
  <si>
    <t>Přímé náklady věcné</t>
  </si>
  <si>
    <t>z toho odpisy</t>
  </si>
  <si>
    <t>Přímé náklady CELKEM vč. odpisů</t>
  </si>
  <si>
    <t>Přímé náklady CELKEM bez odpisů</t>
  </si>
  <si>
    <t>Nesouvisející náklady (nevstupují do modelu full-cost)</t>
  </si>
  <si>
    <t>kontrola součtu přímých nákladů pro NS</t>
  </si>
  <si>
    <t>Součet nákladů pro rozpad SUB</t>
  </si>
  <si>
    <r>
      <t>Krok 2                                           rozpad SUB bez odpisů (m</t>
    </r>
    <r>
      <rPr>
        <b/>
        <vertAlign val="superscript"/>
        <sz val="8"/>
        <rFont val="Arial"/>
        <family val="2"/>
        <charset val="238"/>
      </rPr>
      <t>2</t>
    </r>
    <r>
      <rPr>
        <b/>
        <sz val="8"/>
        <rFont val="Arial"/>
        <family val="2"/>
        <charset val="238"/>
      </rPr>
      <t>)</t>
    </r>
  </si>
  <si>
    <t xml:space="preserve">Součet nákladů pro rozpad ICT </t>
  </si>
  <si>
    <t>Krok 3                            Rozpad ICT (celkový počet zaměstnanci + studenti (P+0,5K)</t>
  </si>
  <si>
    <t>Součet nákladů pro rozpad kancelář rektora</t>
  </si>
  <si>
    <t>Krok 4                            Rozpad kanceláře rektora (PEP)</t>
  </si>
  <si>
    <t>Součet nákladů pro rozpad ostatní oddělení rektorátu</t>
  </si>
  <si>
    <t>Krok 5                    rozpad ostatních oddělení REK (PEP)</t>
  </si>
  <si>
    <t>Součet nákladů pro rozpad knihovna (celkový počet zaměstnanci + studenti (P+0,5K)</t>
  </si>
  <si>
    <t>Krok 6                   rozpad Knihovny</t>
  </si>
  <si>
    <t>Součet nákladů pro rozpad VaV (úvazky na VaV, granty)</t>
  </si>
  <si>
    <t>Krok 7                   rozpad VaV</t>
  </si>
  <si>
    <t>CELKEM                        (přímé + nepřímé) náklady konečný rozpad</t>
  </si>
  <si>
    <t>Rektorát</t>
  </si>
  <si>
    <t>NÁKLADY NA SPRÁVU BUDOV</t>
  </si>
  <si>
    <t xml:space="preserve">Útvar správy a údržby budov </t>
  </si>
  <si>
    <t>010107</t>
  </si>
  <si>
    <t>x</t>
  </si>
  <si>
    <t>Součet SUB</t>
  </si>
  <si>
    <t>NÁKLADY NA ICT</t>
  </si>
  <si>
    <t>Celoškolská pracoviště</t>
  </si>
  <si>
    <t>Centrum informačních technologií</t>
  </si>
  <si>
    <t>0104xx</t>
  </si>
  <si>
    <t>Součet  ICT</t>
  </si>
  <si>
    <t>NÁKLADY "KANCELÁŘ REKTORA"</t>
  </si>
  <si>
    <t xml:space="preserve">Kancelář rektora </t>
  </si>
  <si>
    <t>010100, 010200</t>
  </si>
  <si>
    <t>Součet KR</t>
  </si>
  <si>
    <t>NÁKLADY OSTATNÍ ÚSEKŮ REKTORÁTU</t>
  </si>
  <si>
    <t>Vnitřní hodnocení, strategie</t>
  </si>
  <si>
    <t>010119</t>
  </si>
  <si>
    <t>Zahraniční vztahy</t>
  </si>
  <si>
    <t>010102</t>
  </si>
  <si>
    <t>Útvar pro rozvoj</t>
  </si>
  <si>
    <t>010103</t>
  </si>
  <si>
    <t>Kvestor</t>
  </si>
  <si>
    <t>010105</t>
  </si>
  <si>
    <t xml:space="preserve">Ekonomický odbor </t>
  </si>
  <si>
    <t>010106</t>
  </si>
  <si>
    <t xml:space="preserve">Studium a CŽV </t>
  </si>
  <si>
    <t>010108</t>
  </si>
  <si>
    <t>Marketing</t>
  </si>
  <si>
    <t>010101</t>
  </si>
  <si>
    <t>Kancléř</t>
  </si>
  <si>
    <t>vč. podř. jinde neevid.</t>
  </si>
  <si>
    <t>010111</t>
  </si>
  <si>
    <t>Veřejné zakázky</t>
  </si>
  <si>
    <t>010110</t>
  </si>
  <si>
    <t xml:space="preserve">Investiční odbor </t>
  </si>
  <si>
    <t>010300</t>
  </si>
  <si>
    <t>ostatní</t>
  </si>
  <si>
    <t>společné plochy rozpočteny</t>
  </si>
  <si>
    <t>010000</t>
  </si>
  <si>
    <t>xxx</t>
  </si>
  <si>
    <t>VTP</t>
  </si>
  <si>
    <t>plocha v nájmu</t>
  </si>
  <si>
    <t>010800</t>
  </si>
  <si>
    <t>Součet OOR</t>
  </si>
  <si>
    <t>NÁKLADY KNIHOVNA</t>
  </si>
  <si>
    <t>Akademická knihovna JU</t>
  </si>
  <si>
    <t>010900,600</t>
  </si>
  <si>
    <t>Součet KNIHOVNA</t>
  </si>
  <si>
    <t>NÁKLADY VaV</t>
  </si>
  <si>
    <t>Oddělení VaV</t>
  </si>
  <si>
    <t>TA 103 a 104</t>
  </si>
  <si>
    <t>010104</t>
  </si>
  <si>
    <t>ostatní podpora VaV</t>
  </si>
  <si>
    <t>KTT</t>
  </si>
  <si>
    <t>010118</t>
  </si>
  <si>
    <t>Součet VaV</t>
  </si>
  <si>
    <t>Součet</t>
  </si>
  <si>
    <t>NÁKLADY KONCOVÝCH STŘEDISEK (rektorátu - BC, GZ - a fakult)</t>
  </si>
  <si>
    <t>Britské centrum</t>
  </si>
  <si>
    <t>010510</t>
  </si>
  <si>
    <t>Goethe Zentrum</t>
  </si>
  <si>
    <t>010520</t>
  </si>
  <si>
    <t>Ekonomická fakulta</t>
  </si>
  <si>
    <t>12xxxx</t>
  </si>
  <si>
    <t>Filozofická fakulta</t>
  </si>
  <si>
    <t>11xxxx</t>
  </si>
  <si>
    <t>Fakulta rybářství a ochrany vod</t>
  </si>
  <si>
    <t>09xxxx</t>
  </si>
  <si>
    <t>Pedagogická fakulta</t>
  </si>
  <si>
    <t>03xxxx</t>
  </si>
  <si>
    <t>Přírodovědecká fakulta</t>
  </si>
  <si>
    <t>06xxxx</t>
  </si>
  <si>
    <t>Teologická fakulta</t>
  </si>
  <si>
    <t>04xxxx</t>
  </si>
  <si>
    <t>Zdravotně sociální fakulta</t>
  </si>
  <si>
    <t>07xxxx</t>
  </si>
  <si>
    <t>Zemědělská fakulta</t>
  </si>
  <si>
    <t>05xxxx</t>
  </si>
  <si>
    <t>Koleje a menzy</t>
  </si>
  <si>
    <t>02xxxx</t>
  </si>
  <si>
    <t xml:space="preserve">Součet </t>
  </si>
  <si>
    <t>KONTROLNÍ SOUČET</t>
  </si>
  <si>
    <t>rok 2015</t>
  </si>
  <si>
    <t>srovnání</t>
  </si>
  <si>
    <t>popis rozpočtového úseku</t>
  </si>
  <si>
    <t>označení akce v IS</t>
  </si>
  <si>
    <t>požadavky na rozpočet 2015 po redukci</t>
  </si>
  <si>
    <t>změna 2016 proti 2015 (instituc.)</t>
  </si>
  <si>
    <t>požadavky na rok 2016</t>
  </si>
  <si>
    <t>požadavky na rok 2017 celkem</t>
  </si>
  <si>
    <t>požadavky vstupující do rozpadu 2017</t>
  </si>
  <si>
    <t>požadavky kryté "účelovými" zdroji 2017</t>
  </si>
  <si>
    <t>požadavky odhadované - na nové aktivity 2017</t>
  </si>
  <si>
    <t>požadavky kryté vl.zdroji R 2017</t>
  </si>
  <si>
    <t>požadavky na fond 2017</t>
  </si>
  <si>
    <t>kancelář rektora</t>
  </si>
  <si>
    <t>01-100 provoz KR</t>
  </si>
  <si>
    <t>osobní náklady rektorátních útvarů</t>
  </si>
  <si>
    <t>01-1001 osobní náklady</t>
  </si>
  <si>
    <t>útvar vnějších vztahů a komunikace</t>
  </si>
  <si>
    <t>01-101 provoz OVVKP</t>
  </si>
  <si>
    <t>zahraniční útvar</t>
  </si>
  <si>
    <t>01-102 provoz ZO</t>
  </si>
  <si>
    <t>útvar rozvoje</t>
  </si>
  <si>
    <t>01-103 provoz OR</t>
  </si>
  <si>
    <t>útvar VaV</t>
  </si>
  <si>
    <t>01-104 provoz VaV</t>
  </si>
  <si>
    <t>náklady na jednání Vědecké rady JU</t>
  </si>
  <si>
    <t>Vědecká rada JU</t>
  </si>
  <si>
    <t>sekretariát kvestora</t>
  </si>
  <si>
    <t>01-105 provoz sekr. kvest.</t>
  </si>
  <si>
    <t>ekonomický odbor</t>
  </si>
  <si>
    <t>01-106 provoz EKO</t>
  </si>
  <si>
    <t>správa  údržba budov</t>
  </si>
  <si>
    <t>01-107 provoz SÚB</t>
  </si>
  <si>
    <t>útvar pro studium</t>
  </si>
  <si>
    <t>01-108 provoz OSČ</t>
  </si>
  <si>
    <t>útvar pro CŽV</t>
  </si>
  <si>
    <t>01-109 provoz OCŽV</t>
  </si>
  <si>
    <t>útvar veřejných zakázek</t>
  </si>
  <si>
    <t>01-110 provoz oddělení VZ</t>
  </si>
  <si>
    <t>útvar kancléře</t>
  </si>
  <si>
    <t>01-111 provoz útvar kancléře</t>
  </si>
  <si>
    <t>útvar marketingu</t>
  </si>
  <si>
    <t>01-112 provoz útvaru marketingu</t>
  </si>
  <si>
    <t>útvar inter.auditu a kontroly</t>
  </si>
  <si>
    <t>01-113 provoz útvaru inter.aud. a kontr.</t>
  </si>
  <si>
    <t>personální útvaru</t>
  </si>
  <si>
    <t>01-116 provoz personálního útvaru</t>
  </si>
  <si>
    <t>útvaru spisové služby a podatelny</t>
  </si>
  <si>
    <t>01-117 provoz útvaru SPSL a podatelny</t>
  </si>
  <si>
    <t>Kancelář transferu technologií</t>
  </si>
  <si>
    <t>01-118 provoz KTT</t>
  </si>
  <si>
    <t>útvar dopravy</t>
  </si>
  <si>
    <t>01-200 provoz dopravy</t>
  </si>
  <si>
    <t>investiční odbor</t>
  </si>
  <si>
    <t>01-300 provoz inv.odd.</t>
  </si>
  <si>
    <t>útvar správy nemovitostí</t>
  </si>
  <si>
    <t>01-3002 správa nemovitostí</t>
  </si>
  <si>
    <t>společná pracoviště CIT</t>
  </si>
  <si>
    <t>01-400 spol.provoz CIT (APS,SIS,IPS)</t>
  </si>
  <si>
    <t>Helpdesk CIT</t>
  </si>
  <si>
    <t>01-4002 Helpdesk CIT</t>
  </si>
  <si>
    <t>01-510 provoz Britské rady</t>
  </si>
  <si>
    <t>01-520 provoz Goethe Centra</t>
  </si>
  <si>
    <t>odpisy</t>
  </si>
  <si>
    <t>01-551 odpisy</t>
  </si>
  <si>
    <t>právní služby</t>
  </si>
  <si>
    <t>11 Právní služby</t>
  </si>
  <si>
    <t>údržba areálu JU</t>
  </si>
  <si>
    <t>11-01 Údržba areálu</t>
  </si>
  <si>
    <t>kácení a výsadba, vrt  - areál</t>
  </si>
  <si>
    <t>11-01a Mimoř.údržba a práce - areál</t>
  </si>
  <si>
    <t>provozní náklady objektu auly JU</t>
  </si>
  <si>
    <t>11-02 Provoz Bobíku</t>
  </si>
  <si>
    <t>nájmy pozemků v kampusu JU</t>
  </si>
  <si>
    <t>11-03 Nájmy pozemků</t>
  </si>
  <si>
    <t>celouniverzitní akce</t>
  </si>
  <si>
    <t>11-0400 Celouniverzitní akce</t>
  </si>
  <si>
    <t>11-0401 Daňové a porad. služby</t>
  </si>
  <si>
    <t>veletrh vzdělávání Gaudeamus</t>
  </si>
  <si>
    <t>11-0402 Gaudeamus</t>
  </si>
  <si>
    <t>bank.poplatky a kurz.rozdíly Erasmus</t>
  </si>
  <si>
    <t>11-0409 Erasmus LLP</t>
  </si>
  <si>
    <t>předměty pro reprezentaci JU</t>
  </si>
  <si>
    <t>11-0413 Předměty pro repre</t>
  </si>
  <si>
    <t>společenské akce vč.oslav 25.výročí</t>
  </si>
  <si>
    <t>11-0416 Společenské akce</t>
  </si>
  <si>
    <t>ples JU</t>
  </si>
  <si>
    <t>11-12 Ples JU</t>
  </si>
  <si>
    <t>časopis JU - Journal</t>
  </si>
  <si>
    <t>11-05 Zpravodaj JU</t>
  </si>
  <si>
    <t>telefonní sítě JU</t>
  </si>
  <si>
    <t>11-06 Telef.ústředna</t>
  </si>
  <si>
    <t>rezerva rektorátu</t>
  </si>
  <si>
    <t>01-990 rezerva rektorát</t>
  </si>
  <si>
    <t>pojištění JU</t>
  </si>
  <si>
    <t>11-18 Pojištění JU</t>
  </si>
  <si>
    <t>propagace JU</t>
  </si>
  <si>
    <t>11-22 Propagace</t>
  </si>
  <si>
    <t>fotobanka JU</t>
  </si>
  <si>
    <t>11-Fotobanka</t>
  </si>
  <si>
    <t>monitoring médií</t>
  </si>
  <si>
    <t>11-Monitoring médií</t>
  </si>
  <si>
    <t>PR články</t>
  </si>
  <si>
    <t>11-PR články</t>
  </si>
  <si>
    <t>vizuální styl</t>
  </si>
  <si>
    <t>11-Vizuální styl</t>
  </si>
  <si>
    <t>výstavy JU, veletrhy s účastí JU</t>
  </si>
  <si>
    <t>11-Výstavy JU</t>
  </si>
  <si>
    <t>finanční informační systém</t>
  </si>
  <si>
    <t>13-01 FIS</t>
  </si>
  <si>
    <t>připojení k sítí CESNET - část vzděláv.</t>
  </si>
  <si>
    <t>13-02 CESNET</t>
  </si>
  <si>
    <t>software a sítě JU</t>
  </si>
  <si>
    <t>13-03 Software a sítě JU</t>
  </si>
  <si>
    <t>studijní IS STAG</t>
  </si>
  <si>
    <t>13-06 STAG</t>
  </si>
  <si>
    <t>personální a mzdový IS</t>
  </si>
  <si>
    <t>13-13 Odysea 2001 / EGJE</t>
  </si>
  <si>
    <t>IS pro parportizaci a správu majetku AMI</t>
  </si>
  <si>
    <t>13-16 AMI</t>
  </si>
  <si>
    <t>odpisy AK JU</t>
  </si>
  <si>
    <t>prodejna skript - z rozpočtu AK JU</t>
  </si>
  <si>
    <t>01-600 provoz prodejny</t>
  </si>
  <si>
    <t>AK JU</t>
  </si>
  <si>
    <t>01-900 provoz AK JU</t>
  </si>
  <si>
    <t>osobní náklady AK JU</t>
  </si>
  <si>
    <t>01-9001 osobní náklady</t>
  </si>
  <si>
    <t>informační systém pro VaV</t>
  </si>
  <si>
    <t>OBD</t>
  </si>
  <si>
    <t>AK JU - podpora VaV činností</t>
  </si>
  <si>
    <t>RVO Akademická knihovna JU</t>
  </si>
  <si>
    <t>AK JU - databáze</t>
  </si>
  <si>
    <t>připojení k sítí CESNET - část VaV</t>
  </si>
  <si>
    <t>RVO CESNET</t>
  </si>
  <si>
    <t>RVO Rektorát KTT</t>
  </si>
  <si>
    <t>Rektorátní útvary - podpora VaV</t>
  </si>
  <si>
    <t>RVO Rektorát EKO</t>
  </si>
  <si>
    <t>RVO Rektorát SIS</t>
  </si>
  <si>
    <t>RVO Rektorát VaV</t>
  </si>
  <si>
    <t>celkem</t>
  </si>
  <si>
    <t>01-119 provoz útvaru pro vnitř.hodnocení</t>
  </si>
  <si>
    <t>útvar pro vnitřní hodnocení</t>
  </si>
  <si>
    <t>daňové poradenství a účetní audit (2016)</t>
  </si>
  <si>
    <t>změna 2017 proti 2016 (rozpad)</t>
  </si>
  <si>
    <t>body RIV</t>
  </si>
  <si>
    <t>počet grantů</t>
  </si>
  <si>
    <t>porovnání dotace 2017 s dotací 2016</t>
  </si>
  <si>
    <t>celkem fakulty</t>
  </si>
  <si>
    <t>Fond mimořádných aktivt ve VaV</t>
  </si>
  <si>
    <t>Celkem</t>
  </si>
  <si>
    <t>Dotace na RVO ve výši dané Rozhodnutím o poskytnutí dotace MŠMT ze dne 6.3.2017</t>
  </si>
  <si>
    <t>objem grantů (Kč)</t>
  </si>
  <si>
    <t>prostředky RVO podle RIV 2014 (Kč)</t>
  </si>
  <si>
    <t>prostředky RVO podle grantů (Kč)</t>
  </si>
  <si>
    <t>dotace RVO 2017 celkem (Kč)</t>
  </si>
  <si>
    <t>dotace RVO 2016 (Kč)</t>
  </si>
  <si>
    <t>rok 2016</t>
  </si>
  <si>
    <t>návrh - rok 2017</t>
  </si>
  <si>
    <t>Pozn.: Objem dotace na RVO poskytnutý MŠMT k datu zpracování materiálu není finálním objemem této dotace pro rok 2017.</t>
  </si>
  <si>
    <t>2 % na fond mimořádných aktivit ve VaV</t>
  </si>
  <si>
    <t>8 % k rozdělení podle grantů</t>
  </si>
  <si>
    <t>90 % k rozdělení podle bodů RIV z hodnocení 2014</t>
  </si>
  <si>
    <t>v Kč</t>
  </si>
  <si>
    <t>součást JU</t>
  </si>
  <si>
    <t>Podíl na celku 2016 (tj.i 2015)</t>
  </si>
  <si>
    <t>Příspěvek 2017 celkem</t>
  </si>
  <si>
    <t>Přerozdělení části příspěvku (nenaplněné limitní počty nově přijatých studentů na PřF)</t>
  </si>
  <si>
    <t>Příspěvek 2016 celkem</t>
  </si>
  <si>
    <t>Rozdíl 2017 oproti 2016</t>
  </si>
  <si>
    <t>Rozdíl 2017 oproti 2016 v %</t>
  </si>
  <si>
    <t>celkem JU</t>
  </si>
  <si>
    <t>R a AK JU</t>
  </si>
  <si>
    <t>celkem včetně R a AK JU</t>
  </si>
  <si>
    <t>Pozn.: Rozdělení příspěvku fixním podílem roku 2016 (tj. 2015) po uplatnění odpočtu části příspěvku PřF (nenaplněné limitní počty nově přijímaných studentů)</t>
  </si>
  <si>
    <t>Příspěvek na vzdělávací a tvůrčí činnost, rozpočtový okruh I  přidělený JU podle schváleného rozpočtu MŠMT na rok 2017</t>
  </si>
  <si>
    <t>Rozdělení příspěvku 2016               (AS 05/2016)</t>
  </si>
  <si>
    <t>Rozdělení dodatečného příspěvku 2016               (AS 10/2016)</t>
  </si>
  <si>
    <t>1. Návrh na rozdělení institucionální části příspěvku na vzdělávací a tvůrčí činnost pro rok 2017</t>
  </si>
  <si>
    <t>2. Návrh na rozdělení disponibilního objemu dotace na rozvoj výzkumné organizace (RVO) pro rok 2017</t>
  </si>
  <si>
    <t>3. Přehled prostředků schválených pro rektorát a AK JU v letech  2015, 2016  a požadavky na financování roku 2017</t>
  </si>
  <si>
    <t>4. Návrh alokace nákladů R a AK 2017 v navrhované výši 85 675 tis. Kč</t>
  </si>
  <si>
    <t>KaM</t>
  </si>
  <si>
    <t>Podíl na financování celouniverzitních nákladů</t>
  </si>
  <si>
    <t>Dotace RVO 2017 celkem</t>
  </si>
  <si>
    <t>Disponibilní prostředky 2017 celkem</t>
  </si>
  <si>
    <t>navýšení říjen 2016</t>
  </si>
  <si>
    <t>Disponibilní prostředky 2016 celkem, vč. navýšení v říjnu 2016</t>
  </si>
  <si>
    <t>Fond VaV aktivit</t>
  </si>
  <si>
    <t>5. Rekapitulace disponibilních prostředků fakult (v hypotetickém případě použití institucionálních zdrojů na financování R a AK)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</si>
</sst>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mmm\/yyyy"/>
    <numFmt numFmtId="165" formatCode="#,##0.00\ &quot;Kč&quot;"/>
    <numFmt numFmtId="166" formatCode="#,##0.000"/>
    <numFmt numFmtId="167" formatCode="0.000%"/>
    <numFmt numFmtId="169" formatCode="#,##0\ &quot;Kč&quot;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u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8"/>
      <color theme="0"/>
      <name val="Arial"/>
      <family val="2"/>
      <charset val="238"/>
    </font>
    <font>
      <vertAlign val="superscript"/>
      <sz val="8"/>
      <color theme="0"/>
      <name val="Arial"/>
      <family val="2"/>
      <charset val="238"/>
    </font>
    <font>
      <sz val="8"/>
      <color theme="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sz val="8"/>
      <color rgb="FFFF000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0099CD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55"/>
      </left>
      <right style="thin">
        <color indexed="9"/>
      </right>
      <top style="thin">
        <color indexed="55"/>
      </top>
      <bottom/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/>
      <top style="thin">
        <color theme="0" tint="-0.24994659260841701"/>
      </top>
      <bottom/>
      <diagonal/>
    </border>
    <border>
      <left style="thin">
        <color rgb="FF0099CD"/>
      </left>
      <right style="thin">
        <color theme="0"/>
      </right>
      <top style="thin">
        <color rgb="FF0099CD"/>
      </top>
      <bottom/>
      <diagonal/>
    </border>
    <border>
      <left style="thin">
        <color theme="0"/>
      </left>
      <right style="thin">
        <color rgb="FF003366"/>
      </right>
      <top style="thin">
        <color rgb="FF0099CD"/>
      </top>
      <bottom/>
      <diagonal/>
    </border>
    <border>
      <left style="thin">
        <color theme="0"/>
      </left>
      <right style="thin">
        <color theme="0"/>
      </right>
      <top style="thin">
        <color rgb="FF003366"/>
      </top>
      <bottom/>
      <diagonal/>
    </border>
    <border>
      <left style="thin">
        <color indexed="9"/>
      </left>
      <right style="thin">
        <color indexed="9"/>
      </right>
      <top style="thin">
        <color indexed="56"/>
      </top>
      <bottom/>
      <diagonal/>
    </border>
    <border>
      <left style="thin">
        <color theme="0"/>
      </left>
      <right/>
      <top style="thin">
        <color rgb="FF00336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1" fillId="0" borderId="0"/>
    <xf numFmtId="0" fontId="20" fillId="0" borderId="0"/>
    <xf numFmtId="0" fontId="20" fillId="0" borderId="0"/>
  </cellStyleXfs>
  <cellXfs count="228">
    <xf numFmtId="0" fontId="0" fillId="0" borderId="0" xfId="0"/>
    <xf numFmtId="0" fontId="4" fillId="0" borderId="0" xfId="1" applyFont="1" applyFill="1" applyBorder="1" applyAlignment="1"/>
    <xf numFmtId="0" fontId="5" fillId="0" borderId="0" xfId="1" applyFont="1" applyFill="1" applyBorder="1" applyAlignment="1">
      <alignment horizontal="left" wrapText="1"/>
    </xf>
    <xf numFmtId="49" fontId="5" fillId="0" borderId="0" xfId="1" applyNumberFormat="1" applyFont="1" applyFill="1" applyBorder="1" applyAlignment="1">
      <alignment horizontal="center" wrapText="1"/>
    </xf>
    <xf numFmtId="4" fontId="5" fillId="0" borderId="0" xfId="1" applyNumberFormat="1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 wrapText="1"/>
    </xf>
    <xf numFmtId="4" fontId="5" fillId="0" borderId="0" xfId="1" applyNumberFormat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right" wrapText="1"/>
    </xf>
    <xf numFmtId="0" fontId="6" fillId="2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left" vertical="center" wrapText="1"/>
    </xf>
    <xf numFmtId="49" fontId="7" fillId="3" borderId="2" xfId="1" applyNumberFormat="1" applyFont="1" applyFill="1" applyBorder="1" applyAlignment="1">
      <alignment horizontal="center" vertical="center" wrapText="1"/>
    </xf>
    <xf numFmtId="4" fontId="7" fillId="3" borderId="2" xfId="1" applyNumberFormat="1" applyFont="1" applyFill="1" applyBorder="1" applyAlignment="1">
      <alignment horizontal="center" vertical="center" wrapText="1"/>
    </xf>
    <xf numFmtId="4" fontId="10" fillId="3" borderId="2" xfId="1" applyNumberFormat="1" applyFont="1" applyFill="1" applyBorder="1" applyAlignment="1">
      <alignment horizontal="center" vertical="center" wrapText="1"/>
    </xf>
    <xf numFmtId="164" fontId="7" fillId="3" borderId="2" xfId="1" applyNumberFormat="1" applyFont="1" applyFill="1" applyBorder="1" applyAlignment="1">
      <alignment horizontal="center" vertical="center" wrapText="1"/>
    </xf>
    <xf numFmtId="164" fontId="7" fillId="3" borderId="3" xfId="1" applyNumberFormat="1" applyFont="1" applyFill="1" applyBorder="1" applyAlignment="1">
      <alignment horizontal="center" vertical="center" wrapText="1"/>
    </xf>
    <xf numFmtId="4" fontId="7" fillId="3" borderId="3" xfId="1" applyNumberFormat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7" fillId="4" borderId="5" xfId="1" applyFont="1" applyFill="1" applyBorder="1" applyAlignment="1">
      <alignment horizontal="center" vertical="center" wrapText="1"/>
    </xf>
    <xf numFmtId="0" fontId="11" fillId="5" borderId="4" xfId="1" applyFont="1" applyFill="1" applyBorder="1" applyAlignment="1">
      <alignment horizontal="center" vertical="center" wrapText="1"/>
    </xf>
    <xf numFmtId="0" fontId="11" fillId="6" borderId="6" xfId="1" applyFont="1" applyFill="1" applyBorder="1" applyAlignment="1">
      <alignment horizontal="center" vertical="center" wrapText="1"/>
    </xf>
    <xf numFmtId="0" fontId="11" fillId="7" borderId="6" xfId="1" applyFont="1" applyFill="1" applyBorder="1" applyAlignment="1">
      <alignment horizontal="center" vertical="center" wrapText="1"/>
    </xf>
    <xf numFmtId="0" fontId="11" fillId="7" borderId="7" xfId="1" applyFont="1" applyFill="1" applyBorder="1" applyAlignment="1">
      <alignment horizontal="center" vertical="center" wrapText="1"/>
    </xf>
    <xf numFmtId="0" fontId="11" fillId="8" borderId="6" xfId="1" applyFont="1" applyFill="1" applyBorder="1" applyAlignment="1">
      <alignment horizontal="center" vertical="center" wrapText="1"/>
    </xf>
    <xf numFmtId="0" fontId="11" fillId="9" borderId="6" xfId="1" applyFont="1" applyFill="1" applyBorder="1" applyAlignment="1">
      <alignment horizontal="center" vertical="center" wrapText="1"/>
    </xf>
    <xf numFmtId="0" fontId="11" fillId="9" borderId="8" xfId="1" applyFont="1" applyFill="1" applyBorder="1" applyAlignment="1">
      <alignment horizontal="center" vertical="center" wrapText="1"/>
    </xf>
    <xf numFmtId="0" fontId="11" fillId="10" borderId="6" xfId="1" applyFont="1" applyFill="1" applyBorder="1" applyAlignment="1">
      <alignment horizontal="center" vertical="center" wrapText="1"/>
    </xf>
    <xf numFmtId="0" fontId="11" fillId="10" borderId="8" xfId="1" applyFont="1" applyFill="1" applyBorder="1" applyAlignment="1">
      <alignment horizontal="center" vertical="center" wrapText="1"/>
    </xf>
    <xf numFmtId="0" fontId="11" fillId="11" borderId="6" xfId="1" applyFont="1" applyFill="1" applyBorder="1" applyAlignment="1">
      <alignment horizontal="center" vertical="center" wrapText="1"/>
    </xf>
    <xf numFmtId="0" fontId="11" fillId="11" borderId="8" xfId="1" applyFont="1" applyFill="1" applyBorder="1" applyAlignment="1">
      <alignment horizontal="center" vertical="center" wrapText="1"/>
    </xf>
    <xf numFmtId="0" fontId="11" fillId="5" borderId="9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left" wrapText="1"/>
    </xf>
    <xf numFmtId="0" fontId="3" fillId="0" borderId="0" xfId="1" applyFont="1" applyAlignment="1">
      <alignment horizontal="left" wrapText="1"/>
    </xf>
    <xf numFmtId="0" fontId="13" fillId="0" borderId="9" xfId="1" applyFont="1" applyFill="1" applyBorder="1" applyAlignment="1">
      <alignment horizontal="left" wrapText="1"/>
    </xf>
    <xf numFmtId="0" fontId="13" fillId="12" borderId="9" xfId="1" applyFont="1" applyFill="1" applyBorder="1" applyAlignment="1">
      <alignment horizontal="left" wrapText="1"/>
    </xf>
    <xf numFmtId="49" fontId="13" fillId="12" borderId="9" xfId="1" applyNumberFormat="1" applyFont="1" applyFill="1" applyBorder="1" applyAlignment="1">
      <alignment horizontal="center" wrapText="1"/>
    </xf>
    <xf numFmtId="4" fontId="13" fillId="12" borderId="9" xfId="1" applyNumberFormat="1" applyFont="1" applyFill="1" applyBorder="1" applyAlignment="1">
      <alignment horizontal="center" wrapText="1"/>
    </xf>
    <xf numFmtId="0" fontId="13" fillId="12" borderId="9" xfId="1" applyFont="1" applyFill="1" applyBorder="1" applyAlignment="1">
      <alignment horizontal="center" wrapText="1"/>
    </xf>
    <xf numFmtId="4" fontId="13" fillId="12" borderId="9" xfId="1" applyNumberFormat="1" applyFont="1" applyFill="1" applyBorder="1" applyAlignment="1">
      <alignment horizontal="right" wrapText="1"/>
    </xf>
    <xf numFmtId="0" fontId="13" fillId="5" borderId="9" xfId="1" applyFont="1" applyFill="1" applyBorder="1" applyAlignment="1">
      <alignment horizontal="left" wrapText="1"/>
    </xf>
    <xf numFmtId="0" fontId="13" fillId="13" borderId="9" xfId="1" applyFont="1" applyFill="1" applyBorder="1" applyAlignment="1">
      <alignment horizontal="left" wrapText="1"/>
    </xf>
    <xf numFmtId="49" fontId="13" fillId="13" borderId="9" xfId="1" applyNumberFormat="1" applyFont="1" applyFill="1" applyBorder="1" applyAlignment="1">
      <alignment horizontal="center" wrapText="1"/>
    </xf>
    <xf numFmtId="4" fontId="13" fillId="14" borderId="9" xfId="1" applyNumberFormat="1" applyFont="1" applyFill="1" applyBorder="1" applyAlignment="1">
      <alignment horizontal="center" wrapText="1"/>
    </xf>
    <xf numFmtId="0" fontId="13" fillId="0" borderId="9" xfId="1" applyFont="1" applyFill="1" applyBorder="1" applyAlignment="1">
      <alignment horizontal="center" wrapText="1"/>
    </xf>
    <xf numFmtId="4" fontId="13" fillId="0" borderId="9" xfId="1" applyNumberFormat="1" applyFont="1" applyFill="1" applyBorder="1" applyAlignment="1">
      <alignment horizontal="center" wrapText="1"/>
    </xf>
    <xf numFmtId="0" fontId="13" fillId="5" borderId="9" xfId="1" applyFont="1" applyFill="1" applyBorder="1" applyAlignment="1">
      <alignment horizontal="center" wrapText="1"/>
    </xf>
    <xf numFmtId="4" fontId="13" fillId="5" borderId="9" xfId="1" applyNumberFormat="1" applyFont="1" applyFill="1" applyBorder="1" applyAlignment="1">
      <alignment horizontal="center" wrapText="1"/>
    </xf>
    <xf numFmtId="4" fontId="13" fillId="13" borderId="9" xfId="1" applyNumberFormat="1" applyFont="1" applyFill="1" applyBorder="1" applyAlignment="1">
      <alignment horizontal="right" wrapText="1"/>
    </xf>
    <xf numFmtId="4" fontId="13" fillId="5" borderId="9" xfId="1" applyNumberFormat="1" applyFont="1" applyFill="1" applyBorder="1" applyAlignment="1">
      <alignment horizontal="right" wrapText="1"/>
    </xf>
    <xf numFmtId="4" fontId="13" fillId="0" borderId="9" xfId="1" applyNumberFormat="1" applyFont="1" applyFill="1" applyBorder="1" applyAlignment="1">
      <alignment horizontal="right" wrapText="1"/>
    </xf>
    <xf numFmtId="4" fontId="13" fillId="6" borderId="9" xfId="1" applyNumberFormat="1" applyFont="1" applyFill="1" applyBorder="1" applyAlignment="1">
      <alignment horizontal="right" wrapText="1"/>
    </xf>
    <xf numFmtId="4" fontId="13" fillId="13" borderId="9" xfId="1" applyNumberFormat="1" applyFont="1" applyFill="1" applyBorder="1" applyAlignment="1">
      <alignment horizontal="center" wrapText="1"/>
    </xf>
    <xf numFmtId="0" fontId="13" fillId="13" borderId="9" xfId="1" applyFont="1" applyFill="1" applyBorder="1" applyAlignment="1">
      <alignment horizontal="center" wrapText="1"/>
    </xf>
    <xf numFmtId="49" fontId="13" fillId="5" borderId="9" xfId="1" applyNumberFormat="1" applyFont="1" applyFill="1" applyBorder="1" applyAlignment="1">
      <alignment horizontal="center" wrapText="1"/>
    </xf>
    <xf numFmtId="4" fontId="13" fillId="7" borderId="9" xfId="1" applyNumberFormat="1" applyFont="1" applyFill="1" applyBorder="1" applyAlignment="1">
      <alignment horizontal="right" wrapText="1"/>
    </xf>
    <xf numFmtId="4" fontId="13" fillId="8" borderId="9" xfId="1" applyNumberFormat="1" applyFont="1" applyFill="1" applyBorder="1" applyAlignment="1">
      <alignment horizontal="right" wrapText="1"/>
    </xf>
    <xf numFmtId="4" fontId="13" fillId="9" borderId="9" xfId="1" applyNumberFormat="1" applyFont="1" applyFill="1" applyBorder="1" applyAlignment="1">
      <alignment horizontal="right" wrapText="1"/>
    </xf>
    <xf numFmtId="4" fontId="13" fillId="11" borderId="9" xfId="1" applyNumberFormat="1" applyFont="1" applyFill="1" applyBorder="1" applyAlignment="1">
      <alignment horizontal="right" wrapText="1"/>
    </xf>
    <xf numFmtId="4" fontId="13" fillId="10" borderId="9" xfId="1" applyNumberFormat="1" applyFont="1" applyFill="1" applyBorder="1" applyAlignment="1">
      <alignment horizontal="right" wrapText="1"/>
    </xf>
    <xf numFmtId="4" fontId="14" fillId="0" borderId="9" xfId="1" applyNumberFormat="1" applyFont="1" applyFill="1" applyBorder="1" applyAlignment="1">
      <alignment horizontal="center" wrapText="1"/>
    </xf>
    <xf numFmtId="0" fontId="3" fillId="14" borderId="0" xfId="1" applyFont="1" applyFill="1" applyAlignment="1">
      <alignment horizontal="center" wrapText="1"/>
    </xf>
    <xf numFmtId="49" fontId="13" fillId="0" borderId="9" xfId="1" applyNumberFormat="1" applyFont="1" applyFill="1" applyBorder="1" applyAlignment="1">
      <alignment horizontal="center" wrapText="1"/>
    </xf>
    <xf numFmtId="4" fontId="13" fillId="15" borderId="9" xfId="1" applyNumberFormat="1" applyFont="1" applyFill="1" applyBorder="1" applyAlignment="1">
      <alignment horizontal="right" wrapText="1"/>
    </xf>
    <xf numFmtId="4" fontId="13" fillId="15" borderId="9" xfId="1" applyNumberFormat="1" applyFont="1" applyFill="1" applyBorder="1" applyAlignment="1">
      <alignment horizontal="left" wrapText="1"/>
    </xf>
    <xf numFmtId="0" fontId="3" fillId="0" borderId="0" xfId="1" applyFont="1" applyFill="1" applyBorder="1" applyAlignment="1">
      <alignment horizontal="left" wrapText="1"/>
    </xf>
    <xf numFmtId="49" fontId="3" fillId="0" borderId="0" xfId="1" applyNumberFormat="1" applyFont="1" applyFill="1" applyBorder="1" applyAlignment="1">
      <alignment horizontal="center" wrapText="1"/>
    </xf>
    <xf numFmtId="4" fontId="3" fillId="0" borderId="0" xfId="1" applyNumberFormat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wrapText="1"/>
    </xf>
    <xf numFmtId="4" fontId="3" fillId="0" borderId="0" xfId="1" applyNumberFormat="1" applyFont="1" applyFill="1" applyBorder="1" applyAlignment="1">
      <alignment horizontal="left" wrapText="1"/>
    </xf>
    <xf numFmtId="4" fontId="3" fillId="0" borderId="0" xfId="1" applyNumberFormat="1" applyFont="1" applyFill="1" applyBorder="1" applyAlignment="1">
      <alignment horizontal="right" wrapText="1"/>
    </xf>
    <xf numFmtId="0" fontId="3" fillId="0" borderId="0" xfId="1" applyFont="1" applyFill="1" applyBorder="1" applyAlignment="1">
      <alignment horizontal="right" wrapText="1"/>
    </xf>
    <xf numFmtId="0" fontId="1" fillId="0" borderId="0" xfId="2" applyFill="1"/>
    <xf numFmtId="0" fontId="1" fillId="0" borderId="0" xfId="2"/>
    <xf numFmtId="0" fontId="15" fillId="0" borderId="0" xfId="2" applyFont="1"/>
    <xf numFmtId="4" fontId="16" fillId="0" borderId="9" xfId="2" applyNumberFormat="1" applyFont="1" applyFill="1" applyBorder="1"/>
    <xf numFmtId="0" fontId="16" fillId="0" borderId="10" xfId="2" applyFont="1" applyFill="1" applyBorder="1"/>
    <xf numFmtId="0" fontId="16" fillId="0" borderId="0" xfId="2" applyFont="1" applyFill="1"/>
    <xf numFmtId="4" fontId="17" fillId="0" borderId="9" xfId="2" applyNumberFormat="1" applyFont="1" applyFill="1" applyBorder="1"/>
    <xf numFmtId="0" fontId="17" fillId="0" borderId="0" xfId="2" applyFont="1" applyFill="1"/>
    <xf numFmtId="4" fontId="16" fillId="0" borderId="19" xfId="2" applyNumberFormat="1" applyFont="1" applyFill="1" applyBorder="1"/>
    <xf numFmtId="4" fontId="16" fillId="0" borderId="20" xfId="2" applyNumberFormat="1" applyFont="1" applyFill="1" applyBorder="1"/>
    <xf numFmtId="4" fontId="18" fillId="0" borderId="24" xfId="2" applyNumberFormat="1" applyFont="1" applyFill="1" applyBorder="1"/>
    <xf numFmtId="4" fontId="19" fillId="0" borderId="25" xfId="2" applyNumberFormat="1" applyFont="1" applyFill="1" applyBorder="1"/>
    <xf numFmtId="4" fontId="18" fillId="0" borderId="25" xfId="2" applyNumberFormat="1" applyFont="1" applyFill="1" applyBorder="1"/>
    <xf numFmtId="4" fontId="18" fillId="0" borderId="26" xfId="2" applyNumberFormat="1" applyFont="1" applyFill="1" applyBorder="1"/>
    <xf numFmtId="4" fontId="16" fillId="0" borderId="19" xfId="2" applyNumberFormat="1" applyFont="1" applyFill="1" applyBorder="1" applyAlignment="1">
      <alignment horizontal="center"/>
    </xf>
    <xf numFmtId="4" fontId="16" fillId="0" borderId="9" xfId="2" applyNumberFormat="1" applyFont="1" applyFill="1" applyBorder="1" applyAlignment="1">
      <alignment horizontal="center"/>
    </xf>
    <xf numFmtId="0" fontId="16" fillId="0" borderId="19" xfId="0" applyFont="1" applyFill="1" applyBorder="1" applyAlignment="1">
      <alignment horizontal="center"/>
    </xf>
    <xf numFmtId="0" fontId="16" fillId="0" borderId="9" xfId="0" applyFont="1" applyFill="1" applyBorder="1" applyAlignment="1">
      <alignment horizontal="center"/>
    </xf>
    <xf numFmtId="4" fontId="16" fillId="0" borderId="9" xfId="2" applyNumberFormat="1" applyFont="1" applyFill="1" applyBorder="1" applyAlignment="1"/>
    <xf numFmtId="0" fontId="16" fillId="0" borderId="9" xfId="0" applyFont="1" applyFill="1" applyBorder="1" applyAlignment="1"/>
    <xf numFmtId="4" fontId="16" fillId="0" borderId="20" xfId="2" applyNumberFormat="1" applyFont="1" applyFill="1" applyBorder="1" applyAlignment="1"/>
    <xf numFmtId="0" fontId="16" fillId="0" borderId="20" xfId="0" applyFont="1" applyFill="1" applyBorder="1" applyAlignment="1"/>
    <xf numFmtId="0" fontId="13" fillId="0" borderId="10" xfId="1" applyFont="1" applyFill="1" applyBorder="1" applyAlignment="1">
      <alignment horizontal="left" wrapText="1"/>
    </xf>
    <xf numFmtId="0" fontId="13" fillId="0" borderId="11" xfId="1" applyFont="1" applyFill="1" applyBorder="1" applyAlignment="1">
      <alignment horizontal="left" wrapText="1"/>
    </xf>
    <xf numFmtId="0" fontId="13" fillId="0" borderId="12" xfId="1" applyFont="1" applyFill="1" applyBorder="1" applyAlignment="1">
      <alignment horizontal="left" wrapText="1"/>
    </xf>
    <xf numFmtId="4" fontId="16" fillId="0" borderId="21" xfId="2" applyNumberFormat="1" applyFont="1" applyFill="1" applyBorder="1" applyAlignment="1"/>
    <xf numFmtId="0" fontId="16" fillId="0" borderId="22" xfId="0" applyFont="1" applyFill="1" applyBorder="1" applyAlignment="1"/>
    <xf numFmtId="0" fontId="16" fillId="0" borderId="23" xfId="0" applyFont="1" applyFill="1" applyBorder="1" applyAlignment="1"/>
    <xf numFmtId="4" fontId="17" fillId="0" borderId="13" xfId="2" applyNumberFormat="1" applyFont="1" applyFill="1" applyBorder="1" applyAlignment="1"/>
    <xf numFmtId="0" fontId="16" fillId="0" borderId="14" xfId="0" applyFont="1" applyFill="1" applyBorder="1" applyAlignment="1"/>
    <xf numFmtId="0" fontId="16" fillId="0" borderId="15" xfId="0" applyFont="1" applyFill="1" applyBorder="1" applyAlignment="1"/>
    <xf numFmtId="4" fontId="16" fillId="0" borderId="9" xfId="2" applyNumberFormat="1" applyFont="1" applyFill="1" applyBorder="1" applyAlignment="1"/>
    <xf numFmtId="0" fontId="16" fillId="0" borderId="9" xfId="0" applyFont="1" applyFill="1" applyBorder="1" applyAlignment="1"/>
    <xf numFmtId="4" fontId="18" fillId="16" borderId="24" xfId="2" applyNumberFormat="1" applyFont="1" applyFill="1" applyBorder="1"/>
    <xf numFmtId="4" fontId="18" fillId="16" borderId="25" xfId="2" applyNumberFormat="1" applyFont="1" applyFill="1" applyBorder="1"/>
    <xf numFmtId="165" fontId="0" fillId="0" borderId="0" xfId="0" applyNumberFormat="1"/>
    <xf numFmtId="0" fontId="2" fillId="0" borderId="0" xfId="0" applyFont="1"/>
    <xf numFmtId="0" fontId="0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3" fontId="21" fillId="0" borderId="9" xfId="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9" xfId="0" applyFont="1" applyBorder="1"/>
    <xf numFmtId="166" fontId="0" fillId="0" borderId="9" xfId="0" applyNumberFormat="1" applyBorder="1"/>
    <xf numFmtId="4" fontId="0" fillId="0" borderId="9" xfId="0" applyNumberFormat="1" applyBorder="1"/>
    <xf numFmtId="0" fontId="0" fillId="0" borderId="9" xfId="0" applyBorder="1"/>
    <xf numFmtId="3" fontId="0" fillId="0" borderId="9" xfId="0" applyNumberFormat="1" applyBorder="1"/>
    <xf numFmtId="0" fontId="2" fillId="0" borderId="9" xfId="0" applyFont="1" applyBorder="1"/>
    <xf numFmtId="166" fontId="2" fillId="0" borderId="9" xfId="0" applyNumberFormat="1" applyFont="1" applyBorder="1"/>
    <xf numFmtId="4" fontId="2" fillId="0" borderId="9" xfId="0" applyNumberFormat="1" applyFont="1" applyBorder="1"/>
    <xf numFmtId="3" fontId="2" fillId="0" borderId="9" xfId="0" applyNumberFormat="1" applyFont="1" applyBorder="1"/>
    <xf numFmtId="0" fontId="0" fillId="0" borderId="9" xfId="0" applyFont="1" applyFill="1" applyBorder="1" applyAlignment="1">
      <alignment wrapText="1"/>
    </xf>
    <xf numFmtId="166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2" fillId="0" borderId="9" xfId="0" applyFont="1" applyFill="1" applyBorder="1"/>
    <xf numFmtId="0" fontId="0" fillId="0" borderId="0" xfId="0" applyFill="1"/>
    <xf numFmtId="0" fontId="22" fillId="0" borderId="0" xfId="0" applyFont="1"/>
    <xf numFmtId="0" fontId="23" fillId="0" borderId="0" xfId="0" applyFont="1"/>
    <xf numFmtId="0" fontId="16" fillId="0" borderId="0" xfId="0" applyFont="1"/>
    <xf numFmtId="0" fontId="18" fillId="0" borderId="0" xfId="0" applyFont="1"/>
    <xf numFmtId="169" fontId="18" fillId="0" borderId="0" xfId="0" applyNumberFormat="1" applyFont="1" applyAlignment="1">
      <alignment horizontal="center"/>
    </xf>
    <xf numFmtId="169" fontId="16" fillId="0" borderId="0" xfId="0" applyNumberFormat="1" applyFont="1" applyAlignment="1">
      <alignment horizontal="center"/>
    </xf>
    <xf numFmtId="0" fontId="25" fillId="0" borderId="0" xfId="2" applyFont="1" applyFill="1"/>
    <xf numFmtId="0" fontId="22" fillId="0" borderId="0" xfId="2" applyFont="1" applyFill="1"/>
    <xf numFmtId="0" fontId="22" fillId="0" borderId="0" xfId="2" applyFont="1"/>
    <xf numFmtId="0" fontId="26" fillId="0" borderId="0" xfId="2" applyFont="1"/>
    <xf numFmtId="0" fontId="1" fillId="0" borderId="0" xfId="2" applyAlignment="1">
      <alignment horizontal="center" vertical="center"/>
    </xf>
    <xf numFmtId="0" fontId="0" fillId="0" borderId="27" xfId="2" applyFont="1" applyBorder="1" applyAlignment="1">
      <alignment horizontal="center"/>
    </xf>
    <xf numFmtId="0" fontId="15" fillId="0" borderId="28" xfId="2" applyFont="1" applyBorder="1" applyAlignment="1">
      <alignment horizontal="center"/>
    </xf>
    <xf numFmtId="0" fontId="0" fillId="0" borderId="28" xfId="2" applyFont="1" applyBorder="1" applyAlignment="1">
      <alignment horizontal="center" wrapText="1"/>
    </xf>
    <xf numFmtId="0" fontId="0" fillId="0" borderId="27" xfId="2" applyFont="1" applyBorder="1" applyAlignment="1">
      <alignment horizontal="center" wrapText="1"/>
    </xf>
    <xf numFmtId="0" fontId="0" fillId="0" borderId="28" xfId="2" applyFont="1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2" fillId="0" borderId="31" xfId="2" applyFont="1" applyFill="1" applyBorder="1" applyAlignment="1">
      <alignment horizontal="center" vertical="center" wrapText="1"/>
    </xf>
    <xf numFmtId="0" fontId="2" fillId="0" borderId="32" xfId="2" applyFont="1" applyFill="1" applyBorder="1" applyAlignment="1">
      <alignment horizontal="center" vertical="center" wrapText="1"/>
    </xf>
    <xf numFmtId="0" fontId="2" fillId="16" borderId="31" xfId="2" applyFont="1" applyFill="1" applyBorder="1" applyAlignment="1">
      <alignment horizontal="center" vertical="center" wrapText="1"/>
    </xf>
    <xf numFmtId="0" fontId="15" fillId="0" borderId="33" xfId="2" applyFont="1" applyBorder="1" applyAlignment="1">
      <alignment horizontal="center" vertical="center" wrapText="1"/>
    </xf>
    <xf numFmtId="0" fontId="2" fillId="16" borderId="33" xfId="2" applyFont="1" applyFill="1" applyBorder="1" applyAlignment="1">
      <alignment horizontal="center" vertical="center" wrapText="1"/>
    </xf>
    <xf numFmtId="0" fontId="2" fillId="0" borderId="33" xfId="2" applyFont="1" applyFill="1" applyBorder="1" applyAlignment="1">
      <alignment horizontal="center" vertical="center" wrapText="1"/>
    </xf>
    <xf numFmtId="0" fontId="2" fillId="0" borderId="34" xfId="2" applyFont="1" applyFill="1" applyBorder="1" applyAlignment="1">
      <alignment horizontal="center" vertical="center" wrapText="1"/>
    </xf>
    <xf numFmtId="0" fontId="16" fillId="0" borderId="16" xfId="2" applyFont="1" applyFill="1" applyBorder="1"/>
    <xf numFmtId="0" fontId="16" fillId="0" borderId="35" xfId="2" applyFont="1" applyFill="1" applyBorder="1"/>
    <xf numFmtId="4" fontId="16" fillId="0" borderId="16" xfId="2" applyNumberFormat="1" applyFont="1" applyFill="1" applyBorder="1"/>
    <xf numFmtId="4" fontId="17" fillId="0" borderId="17" xfId="2" applyNumberFormat="1" applyFont="1" applyFill="1" applyBorder="1"/>
    <xf numFmtId="4" fontId="16" fillId="0" borderId="17" xfId="2" applyNumberFormat="1" applyFont="1" applyFill="1" applyBorder="1"/>
    <xf numFmtId="4" fontId="16" fillId="0" borderId="18" xfId="2" applyNumberFormat="1" applyFont="1" applyFill="1" applyBorder="1"/>
    <xf numFmtId="0" fontId="16" fillId="0" borderId="19" xfId="2" applyFont="1" applyFill="1" applyBorder="1"/>
    <xf numFmtId="0" fontId="16" fillId="0" borderId="19" xfId="2" applyFont="1" applyFill="1" applyBorder="1" applyAlignment="1"/>
    <xf numFmtId="0" fontId="18" fillId="0" borderId="36" xfId="2" applyFont="1" applyFill="1" applyBorder="1"/>
    <xf numFmtId="0" fontId="18" fillId="0" borderId="37" xfId="2" applyFont="1" applyFill="1" applyBorder="1"/>
    <xf numFmtId="0" fontId="15" fillId="0" borderId="0" xfId="0" applyFont="1"/>
    <xf numFmtId="0" fontId="24" fillId="0" borderId="0" xfId="0" applyFont="1"/>
    <xf numFmtId="0" fontId="2" fillId="17" borderId="9" xfId="0" applyFont="1" applyFill="1" applyBorder="1" applyAlignment="1">
      <alignment horizontal="center" wrapText="1"/>
    </xf>
    <xf numFmtId="3" fontId="0" fillId="17" borderId="9" xfId="0" applyNumberFormat="1" applyFill="1" applyBorder="1"/>
    <xf numFmtId="3" fontId="2" fillId="17" borderId="9" xfId="0" applyNumberFormat="1" applyFont="1" applyFill="1" applyBorder="1"/>
    <xf numFmtId="10" fontId="28" fillId="0" borderId="9" xfId="0" applyNumberFormat="1" applyFont="1" applyBorder="1"/>
    <xf numFmtId="3" fontId="0" fillId="0" borderId="9" xfId="0" applyNumberFormat="1" applyFill="1" applyBorder="1"/>
    <xf numFmtId="10" fontId="21" fillId="0" borderId="9" xfId="0" applyNumberFormat="1" applyFont="1" applyFill="1" applyBorder="1"/>
    <xf numFmtId="3" fontId="2" fillId="0" borderId="9" xfId="0" applyNumberFormat="1" applyFont="1" applyFill="1" applyBorder="1"/>
    <xf numFmtId="10" fontId="28" fillId="0" borderId="15" xfId="0" applyNumberFormat="1" applyFont="1" applyBorder="1"/>
    <xf numFmtId="3" fontId="0" fillId="0" borderId="15" xfId="0" applyNumberFormat="1" applyFill="1" applyBorder="1"/>
    <xf numFmtId="3" fontId="0" fillId="17" borderId="15" xfId="0" applyNumberFormat="1" applyFill="1" applyBorder="1"/>
    <xf numFmtId="3" fontId="0" fillId="0" borderId="15" xfId="0" applyNumberFormat="1" applyBorder="1"/>
    <xf numFmtId="0" fontId="27" fillId="0" borderId="31" xfId="0" applyFont="1" applyBorder="1" applyAlignment="1">
      <alignment horizontal="center" vertical="center" wrapText="1"/>
    </xf>
    <xf numFmtId="0" fontId="21" fillId="0" borderId="33" xfId="0" applyFont="1" applyFill="1" applyBorder="1" applyAlignment="1">
      <alignment horizontal="center" vertical="center" wrapText="1"/>
    </xf>
    <xf numFmtId="0" fontId="21" fillId="17" borderId="33" xfId="0" applyFont="1" applyFill="1" applyBorder="1" applyAlignment="1">
      <alignment horizontal="center" vertical="center" wrapText="1"/>
    </xf>
    <xf numFmtId="0" fontId="21" fillId="0" borderId="34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17" borderId="13" xfId="0" applyFill="1" applyBorder="1" applyAlignment="1">
      <alignment horizontal="center"/>
    </xf>
    <xf numFmtId="3" fontId="0" fillId="0" borderId="13" xfId="0" applyNumberFormat="1" applyFill="1" applyBorder="1"/>
    <xf numFmtId="0" fontId="27" fillId="0" borderId="31" xfId="0" applyFont="1" applyFill="1" applyBorder="1"/>
    <xf numFmtId="0" fontId="2" fillId="0" borderId="33" xfId="0" applyFont="1" applyBorder="1"/>
    <xf numFmtId="3" fontId="2" fillId="0" borderId="33" xfId="0" applyNumberFormat="1" applyFont="1" applyFill="1" applyBorder="1"/>
    <xf numFmtId="3" fontId="2" fillId="17" borderId="33" xfId="0" applyNumberFormat="1" applyFont="1" applyFill="1" applyBorder="1"/>
    <xf numFmtId="3" fontId="2" fillId="0" borderId="33" xfId="0" applyNumberFormat="1" applyFont="1" applyBorder="1"/>
    <xf numFmtId="10" fontId="2" fillId="0" borderId="34" xfId="0" applyNumberFormat="1" applyFont="1" applyBorder="1"/>
    <xf numFmtId="0" fontId="28" fillId="0" borderId="23" xfId="0" applyFont="1" applyBorder="1"/>
    <xf numFmtId="10" fontId="0" fillId="0" borderId="30" xfId="0" applyNumberFormat="1" applyBorder="1"/>
    <xf numFmtId="0" fontId="28" fillId="0" borderId="19" xfId="0" applyFont="1" applyBorder="1"/>
    <xf numFmtId="10" fontId="0" fillId="0" borderId="20" xfId="0" applyNumberFormat="1" applyBorder="1"/>
    <xf numFmtId="0" fontId="21" fillId="0" borderId="19" xfId="0" applyFont="1" applyBorder="1"/>
    <xf numFmtId="3" fontId="2" fillId="0" borderId="0" xfId="0" applyNumberFormat="1" applyFont="1" applyFill="1" applyBorder="1"/>
    <xf numFmtId="10" fontId="2" fillId="0" borderId="20" xfId="0" applyNumberFormat="1" applyFont="1" applyBorder="1"/>
    <xf numFmtId="0" fontId="28" fillId="0" borderId="21" xfId="0" applyFont="1" applyFill="1" applyBorder="1"/>
    <xf numFmtId="0" fontId="0" fillId="0" borderId="38" xfId="0" applyBorder="1"/>
    <xf numFmtId="169" fontId="18" fillId="0" borderId="0" xfId="0" applyNumberFormat="1" applyFont="1" applyAlignment="1">
      <alignment horizontal="center"/>
    </xf>
    <xf numFmtId="0" fontId="18" fillId="0" borderId="0" xfId="0" applyFont="1" applyAlignment="1"/>
    <xf numFmtId="0" fontId="0" fillId="0" borderId="0" xfId="0" applyAlignment="1"/>
    <xf numFmtId="167" fontId="21" fillId="0" borderId="9" xfId="3" applyNumberFormat="1" applyFont="1" applyFill="1" applyBorder="1" applyAlignment="1">
      <alignment horizontal="center"/>
    </xf>
    <xf numFmtId="0" fontId="25" fillId="0" borderId="0" xfId="1" applyFont="1" applyFill="1" applyBorder="1" applyAlignment="1"/>
    <xf numFmtId="0" fontId="23" fillId="0" borderId="0" xfId="0" applyFont="1" applyFill="1"/>
    <xf numFmtId="0" fontId="18" fillId="0" borderId="0" xfId="0" applyFont="1" applyFill="1"/>
    <xf numFmtId="0" fontId="27" fillId="0" borderId="3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3" fontId="0" fillId="0" borderId="0" xfId="0" applyNumberFormat="1" applyFill="1"/>
    <xf numFmtId="3" fontId="0" fillId="0" borderId="0" xfId="0" applyNumberFormat="1"/>
    <xf numFmtId="4" fontId="17" fillId="0" borderId="0" xfId="2" applyNumberFormat="1" applyFont="1" applyFill="1"/>
    <xf numFmtId="0" fontId="2" fillId="0" borderId="33" xfId="0" applyFont="1" applyFill="1" applyBorder="1" applyAlignment="1">
      <alignment horizontal="center" vertical="center" wrapText="1"/>
    </xf>
    <xf numFmtId="3" fontId="0" fillId="0" borderId="17" xfId="0" applyNumberFormat="1" applyFill="1" applyBorder="1"/>
    <xf numFmtId="3" fontId="0" fillId="0" borderId="18" xfId="0" applyNumberFormat="1" applyFill="1" applyBorder="1"/>
    <xf numFmtId="3" fontId="0" fillId="0" borderId="20" xfId="0" applyNumberFormat="1" applyFill="1" applyBorder="1"/>
    <xf numFmtId="3" fontId="0" fillId="0" borderId="38" xfId="0" applyNumberFormat="1" applyFill="1" applyBorder="1"/>
    <xf numFmtId="0" fontId="0" fillId="0" borderId="15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3" fontId="2" fillId="0" borderId="34" xfId="0" applyNumberFormat="1" applyFont="1" applyFill="1" applyBorder="1"/>
    <xf numFmtId="0" fontId="0" fillId="0" borderId="38" xfId="0" applyFill="1" applyBorder="1" applyAlignment="1">
      <alignment horizontal="center"/>
    </xf>
    <xf numFmtId="0" fontId="28" fillId="0" borderId="16" xfId="0" applyFont="1" applyFill="1" applyBorder="1" applyAlignment="1"/>
    <xf numFmtId="0" fontId="28" fillId="0" borderId="19" xfId="0" applyFont="1" applyFill="1" applyBorder="1" applyAlignment="1"/>
    <xf numFmtId="0" fontId="28" fillId="0" borderId="21" xfId="0" applyFont="1" applyFill="1" applyBorder="1" applyAlignment="1"/>
    <xf numFmtId="0" fontId="21" fillId="0" borderId="31" xfId="0" applyFont="1" applyFill="1" applyBorder="1" applyAlignment="1"/>
    <xf numFmtId="0" fontId="28" fillId="0" borderId="23" xfId="0" applyFont="1" applyFill="1" applyBorder="1" applyAlignment="1"/>
    <xf numFmtId="0" fontId="27" fillId="0" borderId="31" xfId="0" applyFont="1" applyFill="1" applyBorder="1" applyAlignment="1"/>
    <xf numFmtId="3" fontId="0" fillId="17" borderId="17" xfId="0" applyNumberFormat="1" applyFill="1" applyBorder="1"/>
    <xf numFmtId="3" fontId="0" fillId="17" borderId="13" xfId="0" applyNumberFormat="1" applyFill="1" applyBorder="1"/>
    <xf numFmtId="0" fontId="0" fillId="17" borderId="15" xfId="0" applyFill="1" applyBorder="1" applyAlignment="1">
      <alignment horizontal="center"/>
    </xf>
  </cellXfs>
  <cellStyles count="5">
    <cellStyle name="Normální" xfId="0" builtinId="0"/>
    <cellStyle name="Normální 10" xfId="3"/>
    <cellStyle name="Normální 17 2" xfId="4"/>
    <cellStyle name="Normální 18" xfId="1"/>
    <cellStyle name="Normální 3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workbookViewId="0">
      <selection activeCell="E6" sqref="E6"/>
    </sheetView>
  </sheetViews>
  <sheetFormatPr defaultRowHeight="15" x14ac:dyDescent="0.25"/>
  <cols>
    <col min="1" max="1" width="27.7109375" customWidth="1"/>
    <col min="2" max="3" width="13.5703125" customWidth="1"/>
    <col min="4" max="4" width="17.42578125" customWidth="1"/>
    <col min="5" max="10" width="13.5703125" customWidth="1"/>
    <col min="11" max="11" width="12.7109375" customWidth="1"/>
  </cols>
  <sheetData>
    <row r="1" spans="1:13" ht="18.75" x14ac:dyDescent="0.3">
      <c r="A1" s="128" t="s">
        <v>292</v>
      </c>
    </row>
    <row r="3" spans="1:13" s="130" customFormat="1" x14ac:dyDescent="0.25">
      <c r="A3" s="199" t="s">
        <v>289</v>
      </c>
      <c r="B3" s="200"/>
      <c r="C3" s="200"/>
      <c r="D3" s="200"/>
      <c r="E3" s="200"/>
      <c r="F3" s="198"/>
      <c r="G3" s="198"/>
      <c r="I3" s="131">
        <v>493825324</v>
      </c>
      <c r="J3" s="131"/>
    </row>
    <row r="4" spans="1:13" s="130" customFormat="1" x14ac:dyDescent="0.25">
      <c r="F4" s="198"/>
      <c r="G4" s="198"/>
    </row>
    <row r="5" spans="1:13" ht="15.75" thickBot="1" x14ac:dyDescent="0.3">
      <c r="J5" t="s">
        <v>277</v>
      </c>
    </row>
    <row r="6" spans="1:13" ht="88.5" customHeight="1" thickBot="1" x14ac:dyDescent="0.3">
      <c r="A6" s="175" t="s">
        <v>278</v>
      </c>
      <c r="B6" s="176" t="s">
        <v>279</v>
      </c>
      <c r="C6" s="176" t="s">
        <v>280</v>
      </c>
      <c r="D6" s="176" t="s">
        <v>281</v>
      </c>
      <c r="E6" s="177" t="s">
        <v>280</v>
      </c>
      <c r="F6" s="176" t="s">
        <v>290</v>
      </c>
      <c r="G6" s="176" t="s">
        <v>291</v>
      </c>
      <c r="H6" s="176" t="s">
        <v>282</v>
      </c>
      <c r="I6" s="176" t="s">
        <v>283</v>
      </c>
      <c r="J6" s="178" t="s">
        <v>284</v>
      </c>
    </row>
    <row r="7" spans="1:13" x14ac:dyDescent="0.25">
      <c r="A7" s="189" t="s">
        <v>95</v>
      </c>
      <c r="B7" s="171">
        <v>0.1138026275712944</v>
      </c>
      <c r="C7" s="172">
        <v>56198620</v>
      </c>
      <c r="D7" s="172">
        <v>131650</v>
      </c>
      <c r="E7" s="173">
        <f>C7+D7</f>
        <v>56330270</v>
      </c>
      <c r="F7" s="174">
        <v>55933667</v>
      </c>
      <c r="G7" s="172">
        <v>785075</v>
      </c>
      <c r="H7" s="174">
        <f>SUM(F7:G7)</f>
        <v>56718742</v>
      </c>
      <c r="I7" s="174">
        <f>E7-H7</f>
        <v>-388472</v>
      </c>
      <c r="J7" s="190">
        <f>E7/H7-1</f>
        <v>-6.8490940789907029E-3</v>
      </c>
    </row>
    <row r="8" spans="1:13" x14ac:dyDescent="0.25">
      <c r="A8" s="191" t="s">
        <v>97</v>
      </c>
      <c r="B8" s="167">
        <v>6.5000000640898919E-2</v>
      </c>
      <c r="C8" s="168">
        <v>32098646</v>
      </c>
      <c r="D8" s="168">
        <v>131650</v>
      </c>
      <c r="E8" s="165">
        <f t="shared" ref="E8:E14" si="0">C8+D8</f>
        <v>32230296</v>
      </c>
      <c r="F8" s="116">
        <v>31947315</v>
      </c>
      <c r="G8" s="168">
        <v>662919</v>
      </c>
      <c r="H8" s="116">
        <f t="shared" ref="H8:H14" si="1">SUM(F8:G8)</f>
        <v>32610234</v>
      </c>
      <c r="I8" s="116">
        <f t="shared" ref="I8:I14" si="2">E8-H8</f>
        <v>-379938</v>
      </c>
      <c r="J8" s="192">
        <f t="shared" ref="J8:J15" si="3">E8/H8-1</f>
        <v>-1.1650882357973846E-2</v>
      </c>
    </row>
    <row r="9" spans="1:13" x14ac:dyDescent="0.25">
      <c r="A9" s="191" t="s">
        <v>99</v>
      </c>
      <c r="B9" s="167">
        <v>4.5061445514102051E-2</v>
      </c>
      <c r="C9" s="168">
        <v>22252483</v>
      </c>
      <c r="D9" s="168">
        <v>131650</v>
      </c>
      <c r="E9" s="165">
        <f t="shared" si="0"/>
        <v>22384133</v>
      </c>
      <c r="F9" s="116">
        <v>22147572</v>
      </c>
      <c r="G9" s="168">
        <v>381262</v>
      </c>
      <c r="H9" s="116">
        <f t="shared" si="1"/>
        <v>22528834</v>
      </c>
      <c r="I9" s="116">
        <f t="shared" si="2"/>
        <v>-144701</v>
      </c>
      <c r="J9" s="192">
        <f t="shared" si="3"/>
        <v>-6.4229245064347795E-3</v>
      </c>
    </row>
    <row r="10" spans="1:13" x14ac:dyDescent="0.25">
      <c r="A10" s="191" t="s">
        <v>101</v>
      </c>
      <c r="B10" s="167">
        <v>0.21291782508386428</v>
      </c>
      <c r="C10" s="168">
        <v>105144214</v>
      </c>
      <c r="D10" s="168">
        <v>131650</v>
      </c>
      <c r="E10" s="165">
        <f t="shared" si="0"/>
        <v>105275864</v>
      </c>
      <c r="F10" s="116">
        <v>104648504</v>
      </c>
      <c r="G10" s="168">
        <v>1472629</v>
      </c>
      <c r="H10" s="116">
        <f t="shared" si="1"/>
        <v>106121133</v>
      </c>
      <c r="I10" s="116">
        <f t="shared" si="2"/>
        <v>-845269</v>
      </c>
      <c r="J10" s="192">
        <f t="shared" si="3"/>
        <v>-7.9651335799439948E-3</v>
      </c>
    </row>
    <row r="11" spans="1:13" x14ac:dyDescent="0.25">
      <c r="A11" s="191" t="s">
        <v>103</v>
      </c>
      <c r="B11" s="167">
        <v>0.1622611670530768</v>
      </c>
      <c r="C11" s="168">
        <v>80128673</v>
      </c>
      <c r="D11" s="168">
        <v>-921550</v>
      </c>
      <c r="E11" s="165">
        <f t="shared" si="0"/>
        <v>79207123</v>
      </c>
      <c r="F11" s="116">
        <v>79750901</v>
      </c>
      <c r="G11" s="168">
        <v>1264342</v>
      </c>
      <c r="H11" s="116">
        <f t="shared" si="1"/>
        <v>81015243</v>
      </c>
      <c r="I11" s="116">
        <f t="shared" si="2"/>
        <v>-1808120</v>
      </c>
      <c r="J11" s="192">
        <f t="shared" si="3"/>
        <v>-2.2318269168186022E-2</v>
      </c>
    </row>
    <row r="12" spans="1:13" x14ac:dyDescent="0.25">
      <c r="A12" s="191" t="s">
        <v>105</v>
      </c>
      <c r="B12" s="167">
        <v>5.0356914684768585E-2</v>
      </c>
      <c r="C12" s="168">
        <v>24867520</v>
      </c>
      <c r="D12" s="168">
        <v>131650</v>
      </c>
      <c r="E12" s="165">
        <f t="shared" si="0"/>
        <v>24999170</v>
      </c>
      <c r="F12" s="116">
        <v>24750280</v>
      </c>
      <c r="G12" s="168">
        <v>388059</v>
      </c>
      <c r="H12" s="116">
        <f t="shared" si="1"/>
        <v>25138339</v>
      </c>
      <c r="I12" s="116">
        <f t="shared" si="2"/>
        <v>-139169</v>
      </c>
      <c r="J12" s="192">
        <f t="shared" si="3"/>
        <v>-5.536125517282553E-3</v>
      </c>
    </row>
    <row r="13" spans="1:13" x14ac:dyDescent="0.25">
      <c r="A13" s="191" t="s">
        <v>107</v>
      </c>
      <c r="B13" s="167">
        <v>0.21791354887391215</v>
      </c>
      <c r="C13" s="168">
        <v>107611229</v>
      </c>
      <c r="D13" s="168">
        <v>131650</v>
      </c>
      <c r="E13" s="165">
        <f t="shared" si="0"/>
        <v>107742879</v>
      </c>
      <c r="F13" s="116">
        <v>107103888</v>
      </c>
      <c r="G13" s="116">
        <v>1169888</v>
      </c>
      <c r="H13" s="116">
        <f t="shared" si="1"/>
        <v>108273776</v>
      </c>
      <c r="I13" s="116">
        <f t="shared" si="2"/>
        <v>-530897</v>
      </c>
      <c r="J13" s="192">
        <f t="shared" si="3"/>
        <v>-4.9032833213464855E-3</v>
      </c>
    </row>
    <row r="14" spans="1:13" x14ac:dyDescent="0.25">
      <c r="A14" s="191" t="s">
        <v>109</v>
      </c>
      <c r="B14" s="167">
        <v>0.13268647057808261</v>
      </c>
      <c r="C14" s="168">
        <v>65523939</v>
      </c>
      <c r="D14" s="168">
        <v>131650</v>
      </c>
      <c r="E14" s="165">
        <f t="shared" si="0"/>
        <v>65655589</v>
      </c>
      <c r="F14" s="116">
        <v>65215022</v>
      </c>
      <c r="G14" s="168">
        <v>1044575</v>
      </c>
      <c r="H14" s="116">
        <f t="shared" si="1"/>
        <v>66259597</v>
      </c>
      <c r="I14" s="116">
        <f t="shared" si="2"/>
        <v>-604008</v>
      </c>
      <c r="J14" s="192">
        <f t="shared" si="3"/>
        <v>-9.1157813712631208E-3</v>
      </c>
    </row>
    <row r="15" spans="1:13" s="107" customFormat="1" x14ac:dyDescent="0.25">
      <c r="A15" s="193" t="s">
        <v>285</v>
      </c>
      <c r="B15" s="169">
        <f>SUM(B7:B14)</f>
        <v>0.99999999999999967</v>
      </c>
      <c r="C15" s="170">
        <f>SUM(C7:C14)</f>
        <v>493825324</v>
      </c>
      <c r="D15" s="170">
        <f>SUM(D7:D14)</f>
        <v>0</v>
      </c>
      <c r="E15" s="166">
        <f>SUM(E7:E14)</f>
        <v>493825324</v>
      </c>
      <c r="F15" s="120">
        <f t="shared" ref="F15" si="4">SUM(F7:F14)</f>
        <v>491497149</v>
      </c>
      <c r="G15" s="194">
        <f>SUM(G7:G14)</f>
        <v>7168749</v>
      </c>
      <c r="H15" s="120">
        <f>SUM(H7:H14)</f>
        <v>498665898</v>
      </c>
      <c r="I15" s="120">
        <f>SUM(I7:I14)</f>
        <v>-4840574</v>
      </c>
      <c r="J15" s="195">
        <f t="shared" si="3"/>
        <v>-9.707048385329986E-3</v>
      </c>
      <c r="K15"/>
      <c r="L15"/>
      <c r="M15"/>
    </row>
    <row r="16" spans="1:13" ht="15.75" thickBot="1" x14ac:dyDescent="0.3">
      <c r="A16" s="196" t="s">
        <v>286</v>
      </c>
      <c r="B16" s="179" t="s">
        <v>72</v>
      </c>
      <c r="C16" s="180" t="s">
        <v>72</v>
      </c>
      <c r="D16" s="180"/>
      <c r="E16" s="181" t="s">
        <v>72</v>
      </c>
      <c r="F16" s="180" t="s">
        <v>72</v>
      </c>
      <c r="G16" s="182">
        <v>855179</v>
      </c>
      <c r="H16" s="182">
        <v>855179</v>
      </c>
      <c r="I16" s="179" t="s">
        <v>72</v>
      </c>
      <c r="J16" s="197"/>
    </row>
    <row r="17" spans="1:13" s="107" customFormat="1" ht="15.75" thickBot="1" x14ac:dyDescent="0.3">
      <c r="A17" s="183" t="s">
        <v>287</v>
      </c>
      <c r="B17" s="184"/>
      <c r="C17" s="185">
        <f>C15</f>
        <v>493825324</v>
      </c>
      <c r="D17" s="185">
        <f>D15</f>
        <v>0</v>
      </c>
      <c r="E17" s="186">
        <f>E15</f>
        <v>493825324</v>
      </c>
      <c r="F17" s="187">
        <f>F15</f>
        <v>491497149</v>
      </c>
      <c r="G17" s="185">
        <f>SUM(G15:G16)</f>
        <v>8023928</v>
      </c>
      <c r="H17" s="187">
        <f>SUM(H15:H16)</f>
        <v>499521077</v>
      </c>
      <c r="I17" s="187">
        <f>C17-H17</f>
        <v>-5695753</v>
      </c>
      <c r="J17" s="188">
        <f>E17/H17-1</f>
        <v>-1.1402427769829582E-2</v>
      </c>
      <c r="K17"/>
      <c r="L17"/>
      <c r="M17"/>
    </row>
    <row r="19" spans="1:13" s="162" customFormat="1" x14ac:dyDescent="0.25">
      <c r="A19" s="162" t="s">
        <v>288</v>
      </c>
    </row>
  </sheetData>
  <mergeCells count="1">
    <mergeCell ref="I3:J3"/>
  </mergeCells>
  <pageMargins left="0.7" right="0.7" top="0.78740157499999996" bottom="0.78740157499999996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2"/>
  <sheetViews>
    <sheetView workbookViewId="0">
      <selection activeCell="J18" sqref="J18"/>
    </sheetView>
  </sheetViews>
  <sheetFormatPr defaultRowHeight="15" x14ac:dyDescent="0.25"/>
  <cols>
    <col min="1" max="1" width="28.42578125" customWidth="1"/>
    <col min="2" max="2" width="12.85546875" customWidth="1"/>
    <col min="3" max="3" width="16" customWidth="1"/>
    <col min="4" max="4" width="8.5703125" customWidth="1"/>
    <col min="5" max="5" width="15" customWidth="1"/>
    <col min="6" max="7" width="15" bestFit="1" customWidth="1"/>
    <col min="8" max="8" width="14.140625" customWidth="1"/>
    <col min="9" max="9" width="16" bestFit="1" customWidth="1"/>
    <col min="10" max="10" width="15.42578125" bestFit="1" customWidth="1"/>
    <col min="11" max="11" width="8.42578125" bestFit="1" customWidth="1"/>
  </cols>
  <sheetData>
    <row r="1" spans="1:34" s="127" customFormat="1" ht="18.75" x14ac:dyDescent="0.3">
      <c r="A1" s="128" t="s">
        <v>293</v>
      </c>
    </row>
    <row r="4" spans="1:34" s="130" customFormat="1" x14ac:dyDescent="0.25">
      <c r="A4" s="130" t="s">
        <v>265</v>
      </c>
      <c r="F4" s="131">
        <v>161030848</v>
      </c>
      <c r="G4" s="131"/>
    </row>
    <row r="5" spans="1:34" s="129" customFormat="1" x14ac:dyDescent="0.25">
      <c r="A5" s="129" t="s">
        <v>274</v>
      </c>
      <c r="F5" s="132">
        <v>3220617</v>
      </c>
      <c r="G5" s="132"/>
    </row>
    <row r="6" spans="1:34" s="129" customFormat="1" x14ac:dyDescent="0.25">
      <c r="A6" s="129" t="s">
        <v>275</v>
      </c>
      <c r="F6" s="132">
        <v>12882468</v>
      </c>
      <c r="G6" s="132"/>
    </row>
    <row r="7" spans="1:34" s="129" customFormat="1" x14ac:dyDescent="0.25">
      <c r="A7" s="129" t="s">
        <v>276</v>
      </c>
      <c r="F7" s="132">
        <v>144927763</v>
      </c>
      <c r="G7" s="132"/>
    </row>
    <row r="8" spans="1:34" x14ac:dyDescent="0.25">
      <c r="I8" s="106"/>
    </row>
    <row r="9" spans="1:34" s="111" customFormat="1" ht="45" x14ac:dyDescent="0.25">
      <c r="A9" s="108"/>
      <c r="B9" s="109" t="s">
        <v>259</v>
      </c>
      <c r="C9" s="109" t="s">
        <v>266</v>
      </c>
      <c r="D9" s="109" t="s">
        <v>260</v>
      </c>
      <c r="E9" s="109" t="s">
        <v>267</v>
      </c>
      <c r="F9" s="109" t="s">
        <v>268</v>
      </c>
      <c r="G9" s="164" t="s">
        <v>269</v>
      </c>
      <c r="H9" s="109" t="s">
        <v>270</v>
      </c>
      <c r="I9" s="110" t="s">
        <v>261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</row>
    <row r="10" spans="1:34" x14ac:dyDescent="0.25">
      <c r="A10" s="112" t="s">
        <v>95</v>
      </c>
      <c r="B10" s="113">
        <v>4562.5079999999998</v>
      </c>
      <c r="C10" s="114">
        <v>5465278.1900000004</v>
      </c>
      <c r="D10" s="115">
        <v>10</v>
      </c>
      <c r="E10" s="116">
        <v>7738790</v>
      </c>
      <c r="F10" s="116">
        <v>281432</v>
      </c>
      <c r="G10" s="165">
        <f>SUM(E10:F10)</f>
        <v>8020222</v>
      </c>
      <c r="H10" s="116">
        <v>10751878</v>
      </c>
      <c r="I10" s="201">
        <f t="shared" ref="I10:I17" si="0">G10/H10</f>
        <v>0.74593684935785176</v>
      </c>
    </row>
    <row r="11" spans="1:34" x14ac:dyDescent="0.25">
      <c r="A11" s="112" t="s">
        <v>97</v>
      </c>
      <c r="B11" s="113">
        <v>6928.3139999999994</v>
      </c>
      <c r="C11" s="114">
        <v>29355000</v>
      </c>
      <c r="D11" s="115">
        <v>22</v>
      </c>
      <c r="E11" s="116">
        <v>11751599</v>
      </c>
      <c r="F11" s="116">
        <v>774212</v>
      </c>
      <c r="G11" s="165">
        <f t="shared" ref="G11:G17" si="1">SUM(E11:F11)</f>
        <v>12525811</v>
      </c>
      <c r="H11" s="116">
        <v>16327070</v>
      </c>
      <c r="I11" s="201">
        <f t="shared" si="0"/>
        <v>0.76718057802165363</v>
      </c>
    </row>
    <row r="12" spans="1:34" x14ac:dyDescent="0.25">
      <c r="A12" s="112" t="s">
        <v>99</v>
      </c>
      <c r="B12" s="113">
        <v>21714.774389999999</v>
      </c>
      <c r="C12" s="114">
        <v>223943440.71000001</v>
      </c>
      <c r="D12" s="115">
        <v>56</v>
      </c>
      <c r="E12" s="116">
        <v>36831951</v>
      </c>
      <c r="F12" s="116">
        <v>3305783</v>
      </c>
      <c r="G12" s="165">
        <f t="shared" si="1"/>
        <v>40137734</v>
      </c>
      <c r="H12" s="116">
        <v>51172428</v>
      </c>
      <c r="I12" s="201">
        <f t="shared" si="0"/>
        <v>0.78436250865407442</v>
      </c>
    </row>
    <row r="13" spans="1:34" x14ac:dyDescent="0.25">
      <c r="A13" s="112" t="s">
        <v>101</v>
      </c>
      <c r="B13" s="113">
        <v>5483.8029999999999</v>
      </c>
      <c r="C13" s="114">
        <v>14868800.299999999</v>
      </c>
      <c r="D13" s="115">
        <v>16</v>
      </c>
      <c r="E13" s="116">
        <v>9301463</v>
      </c>
      <c r="F13" s="116">
        <v>505086</v>
      </c>
      <c r="G13" s="165">
        <f t="shared" si="1"/>
        <v>9806549</v>
      </c>
      <c r="H13" s="116">
        <v>12922976</v>
      </c>
      <c r="I13" s="201">
        <f t="shared" si="0"/>
        <v>0.75884602741659501</v>
      </c>
    </row>
    <row r="14" spans="1:34" x14ac:dyDescent="0.25">
      <c r="A14" s="112" t="s">
        <v>103</v>
      </c>
      <c r="B14" s="113">
        <v>30649.116610000001</v>
      </c>
      <c r="C14" s="114">
        <v>341262762.70000005</v>
      </c>
      <c r="D14" s="115">
        <v>105</v>
      </c>
      <c r="E14" s="116">
        <v>51986114</v>
      </c>
      <c r="F14" s="116">
        <v>5494843</v>
      </c>
      <c r="G14" s="165">
        <f t="shared" si="1"/>
        <v>57480957</v>
      </c>
      <c r="H14" s="116">
        <v>72226848</v>
      </c>
      <c r="I14" s="201">
        <f t="shared" si="0"/>
        <v>0.79583920095751648</v>
      </c>
    </row>
    <row r="15" spans="1:34" x14ac:dyDescent="0.25">
      <c r="A15" s="112" t="s">
        <v>105</v>
      </c>
      <c r="B15" s="113">
        <v>3725.9650000000001</v>
      </c>
      <c r="C15" s="114">
        <v>10727978.699999999</v>
      </c>
      <c r="D15" s="115">
        <v>9</v>
      </c>
      <c r="E15" s="116">
        <v>6319870</v>
      </c>
      <c r="F15" s="116">
        <v>305263</v>
      </c>
      <c r="G15" s="165">
        <f t="shared" si="1"/>
        <v>6625133</v>
      </c>
      <c r="H15" s="116">
        <v>8780505</v>
      </c>
      <c r="I15" s="201">
        <f t="shared" si="0"/>
        <v>0.75452755849464237</v>
      </c>
    </row>
    <row r="16" spans="1:34" x14ac:dyDescent="0.25">
      <c r="A16" s="112" t="s">
        <v>107</v>
      </c>
      <c r="B16" s="113">
        <v>2276.5129999999999</v>
      </c>
      <c r="C16" s="114">
        <v>21242879.189999998</v>
      </c>
      <c r="D16" s="115">
        <v>14</v>
      </c>
      <c r="E16" s="116">
        <v>3861353</v>
      </c>
      <c r="F16" s="116">
        <v>515606</v>
      </c>
      <c r="G16" s="165">
        <f t="shared" si="1"/>
        <v>4376959</v>
      </c>
      <c r="H16" s="116">
        <v>5364767</v>
      </c>
      <c r="I16" s="201">
        <f t="shared" si="0"/>
        <v>0.81587122050221383</v>
      </c>
    </row>
    <row r="17" spans="1:34" x14ac:dyDescent="0.25">
      <c r="A17" s="112" t="s">
        <v>109</v>
      </c>
      <c r="B17" s="113">
        <v>10103.128000000001</v>
      </c>
      <c r="C17" s="114">
        <v>73079848.819999993</v>
      </c>
      <c r="D17" s="115">
        <v>45</v>
      </c>
      <c r="E17" s="116">
        <v>17136623</v>
      </c>
      <c r="F17" s="116">
        <v>1700243</v>
      </c>
      <c r="G17" s="165">
        <f t="shared" si="1"/>
        <v>18836866</v>
      </c>
      <c r="H17" s="116">
        <v>23808748</v>
      </c>
      <c r="I17" s="201">
        <f t="shared" si="0"/>
        <v>0.79117415161855631</v>
      </c>
    </row>
    <row r="18" spans="1:34" s="107" customFormat="1" x14ac:dyDescent="0.25">
      <c r="A18" s="117" t="s">
        <v>262</v>
      </c>
      <c r="B18" s="118">
        <f>SUM(B10:B17)</f>
        <v>85444.122000000003</v>
      </c>
      <c r="C18" s="119">
        <f>SUM(C10:C17)</f>
        <v>719945988.61000013</v>
      </c>
      <c r="D18" s="117">
        <f>SUM(D10:D17)</f>
        <v>277</v>
      </c>
      <c r="E18" s="120">
        <f>SUM(E10:E17)</f>
        <v>144927763</v>
      </c>
      <c r="F18" s="120">
        <f>SUM(F10:F17)</f>
        <v>12882468</v>
      </c>
      <c r="G18" s="166">
        <f>SUM(G10:G17)</f>
        <v>157810231</v>
      </c>
      <c r="H18" s="120">
        <f>SUM(H10:H17)</f>
        <v>201355220</v>
      </c>
      <c r="I18" s="201">
        <f>G18/H18</f>
        <v>0.78374045132775794</v>
      </c>
      <c r="J18" s="20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1:34" ht="30" x14ac:dyDescent="0.25">
      <c r="A19" s="121" t="s">
        <v>263</v>
      </c>
      <c r="B19" s="122" t="s">
        <v>72</v>
      </c>
      <c r="C19" s="123" t="s">
        <v>72</v>
      </c>
      <c r="D19" s="123" t="s">
        <v>72</v>
      </c>
      <c r="E19" s="124" t="s">
        <v>72</v>
      </c>
      <c r="F19" s="124" t="s">
        <v>72</v>
      </c>
      <c r="G19" s="165">
        <v>3220617</v>
      </c>
      <c r="H19" s="116">
        <v>4109290</v>
      </c>
      <c r="I19" s="201">
        <f>G19/H19</f>
        <v>0.78374050018372998</v>
      </c>
    </row>
    <row r="20" spans="1:34" s="107" customFormat="1" x14ac:dyDescent="0.25">
      <c r="A20" s="125" t="s">
        <v>264</v>
      </c>
      <c r="B20" s="118">
        <f>B18</f>
        <v>85444.122000000003</v>
      </c>
      <c r="C20" s="119">
        <f>C18</f>
        <v>719945988.61000013</v>
      </c>
      <c r="D20" s="117">
        <f>D18</f>
        <v>277</v>
      </c>
      <c r="E20" s="120">
        <f>E18</f>
        <v>144927763</v>
      </c>
      <c r="F20" s="120">
        <f>F18</f>
        <v>12882468</v>
      </c>
      <c r="G20" s="166">
        <f>G19+G18</f>
        <v>161030848</v>
      </c>
      <c r="H20" s="120">
        <f>H19+H18</f>
        <v>205464510</v>
      </c>
      <c r="I20" s="201">
        <f>G20/H20</f>
        <v>0.78374045230487732</v>
      </c>
    </row>
    <row r="21" spans="1:34" x14ac:dyDescent="0.25">
      <c r="I21" s="126"/>
    </row>
    <row r="22" spans="1:34" s="163" customFormat="1" ht="12.75" x14ac:dyDescent="0.2">
      <c r="A22" s="163" t="s">
        <v>273</v>
      </c>
    </row>
  </sheetData>
  <mergeCells count="4">
    <mergeCell ref="F4:G4"/>
    <mergeCell ref="F5:G5"/>
    <mergeCell ref="F6:G6"/>
    <mergeCell ref="F7:G7"/>
  </mergeCells>
  <pageMargins left="0.7" right="0.7" top="0.78740157499999996" bottom="0.78740157499999996" header="0.3" footer="0.3"/>
  <pageSetup paperSize="9" scale="93" orientation="landscape" r:id="rId1"/>
  <ignoredErrors>
    <ignoredError sqref="G10 G11:G1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9"/>
  <sheetViews>
    <sheetView zoomScaleNormal="100" workbookViewId="0">
      <pane ySplit="4" topLeftCell="A5" activePane="bottomLeft" state="frozen"/>
      <selection activeCell="B1" sqref="B1"/>
      <selection pane="bottomLeft" activeCell="F75" sqref="F75"/>
    </sheetView>
  </sheetViews>
  <sheetFormatPr defaultRowHeight="15" x14ac:dyDescent="0.25"/>
  <cols>
    <col min="1" max="1" width="36.5703125" style="71" customWidth="1"/>
    <col min="2" max="2" width="37.140625" style="71" bestFit="1" customWidth="1"/>
    <col min="3" max="3" width="14.42578125" style="72" customWidth="1"/>
    <col min="4" max="4" width="13" style="73" customWidth="1"/>
    <col min="5" max="5" width="12.85546875" style="72" customWidth="1"/>
    <col min="6" max="6" width="13" style="73" customWidth="1"/>
    <col min="7" max="7" width="12.85546875" style="72" customWidth="1"/>
    <col min="8" max="8" width="14.28515625" style="72" customWidth="1"/>
    <col min="9" max="12" width="12.85546875" style="72" customWidth="1"/>
    <col min="13" max="16384" width="9.140625" style="72"/>
  </cols>
  <sheetData>
    <row r="1" spans="1:12" s="135" customFormat="1" ht="18.75" x14ac:dyDescent="0.3">
      <c r="A1" s="133" t="s">
        <v>294</v>
      </c>
      <c r="B1" s="134"/>
      <c r="D1" s="136"/>
      <c r="F1" s="136"/>
    </row>
    <row r="2" spans="1:12" ht="15.75" thickBot="1" x14ac:dyDescent="0.3"/>
    <row r="3" spans="1:12" ht="15.75" thickBot="1" x14ac:dyDescent="0.3">
      <c r="C3" s="138" t="s">
        <v>115</v>
      </c>
      <c r="D3" s="139" t="s">
        <v>116</v>
      </c>
      <c r="E3" s="140" t="s">
        <v>271</v>
      </c>
      <c r="F3" s="139" t="s">
        <v>116</v>
      </c>
      <c r="G3" s="141" t="s">
        <v>272</v>
      </c>
      <c r="H3" s="142"/>
      <c r="I3" s="142"/>
      <c r="J3" s="142"/>
      <c r="K3" s="143"/>
      <c r="L3" s="144"/>
    </row>
    <row r="4" spans="1:12" s="137" customFormat="1" ht="60.75" thickBot="1" x14ac:dyDescent="0.3">
      <c r="A4" s="145" t="s">
        <v>117</v>
      </c>
      <c r="B4" s="146" t="s">
        <v>118</v>
      </c>
      <c r="C4" s="147" t="s">
        <v>119</v>
      </c>
      <c r="D4" s="148" t="s">
        <v>120</v>
      </c>
      <c r="E4" s="149" t="s">
        <v>121</v>
      </c>
      <c r="F4" s="148" t="s">
        <v>258</v>
      </c>
      <c r="G4" s="145" t="s">
        <v>122</v>
      </c>
      <c r="H4" s="149" t="s">
        <v>123</v>
      </c>
      <c r="I4" s="150" t="s">
        <v>124</v>
      </c>
      <c r="J4" s="150" t="s">
        <v>125</v>
      </c>
      <c r="K4" s="150" t="s">
        <v>126</v>
      </c>
      <c r="L4" s="151" t="s">
        <v>127</v>
      </c>
    </row>
    <row r="5" spans="1:12" s="76" customFormat="1" x14ac:dyDescent="0.25">
      <c r="A5" s="152" t="s">
        <v>128</v>
      </c>
      <c r="B5" s="153" t="s">
        <v>129</v>
      </c>
      <c r="C5" s="154">
        <v>200</v>
      </c>
      <c r="D5" s="155">
        <f>E5-C5</f>
        <v>0</v>
      </c>
      <c r="E5" s="156">
        <v>200</v>
      </c>
      <c r="F5" s="155">
        <f>H5-E5</f>
        <v>-60</v>
      </c>
      <c r="G5" s="154">
        <f>30+200</f>
        <v>230</v>
      </c>
      <c r="H5" s="156">
        <f>G5-I5-K5-L5</f>
        <v>140</v>
      </c>
      <c r="I5" s="156"/>
      <c r="J5" s="156"/>
      <c r="K5" s="156">
        <f>30+60</f>
        <v>90</v>
      </c>
      <c r="L5" s="157"/>
    </row>
    <row r="6" spans="1:12" s="76" customFormat="1" x14ac:dyDescent="0.25">
      <c r="A6" s="158" t="s">
        <v>130</v>
      </c>
      <c r="B6" s="75" t="s">
        <v>131</v>
      </c>
      <c r="C6" s="79">
        <f>31936-5</f>
        <v>31931</v>
      </c>
      <c r="D6" s="77">
        <f t="shared" ref="D6:D68" si="0">E6-C6</f>
        <v>6577</v>
      </c>
      <c r="E6" s="74">
        <f>38407+101</f>
        <v>38508</v>
      </c>
      <c r="F6" s="77">
        <f>H6-E6</f>
        <v>-82.279999999998836</v>
      </c>
      <c r="G6" s="79">
        <f>36764+101+289.44+230+1186</f>
        <v>38570.44</v>
      </c>
      <c r="H6" s="74">
        <f t="shared" ref="H6:H68" si="1">G6-I6-K6-L6</f>
        <v>38425.72</v>
      </c>
      <c r="I6" s="74">
        <v>144.72</v>
      </c>
      <c r="J6" s="74"/>
      <c r="K6" s="74"/>
      <c r="L6" s="80"/>
    </row>
    <row r="7" spans="1:12" s="76" customFormat="1" x14ac:dyDescent="0.25">
      <c r="A7" s="158" t="s">
        <v>132</v>
      </c>
      <c r="B7" s="75" t="s">
        <v>133</v>
      </c>
      <c r="C7" s="79">
        <v>35</v>
      </c>
      <c r="D7" s="77">
        <f t="shared" si="0"/>
        <v>-10</v>
      </c>
      <c r="E7" s="74">
        <v>25</v>
      </c>
      <c r="F7" s="77">
        <f>H7-E7</f>
        <v>-25</v>
      </c>
      <c r="G7" s="79">
        <v>0</v>
      </c>
      <c r="H7" s="74">
        <f t="shared" si="1"/>
        <v>0</v>
      </c>
      <c r="I7" s="74"/>
      <c r="J7" s="74"/>
      <c r="K7" s="74"/>
      <c r="L7" s="80"/>
    </row>
    <row r="8" spans="1:12" s="76" customFormat="1" x14ac:dyDescent="0.25">
      <c r="A8" s="158" t="s">
        <v>134</v>
      </c>
      <c r="B8" s="75" t="s">
        <v>135</v>
      </c>
      <c r="C8" s="79">
        <v>165</v>
      </c>
      <c r="D8" s="77">
        <f t="shared" si="0"/>
        <v>80</v>
      </c>
      <c r="E8" s="74">
        <v>245</v>
      </c>
      <c r="F8" s="77">
        <f>H8-E8</f>
        <v>97.699999999999989</v>
      </c>
      <c r="G8" s="79">
        <v>347.7</v>
      </c>
      <c r="H8" s="74">
        <f t="shared" si="1"/>
        <v>342.7</v>
      </c>
      <c r="I8" s="74"/>
      <c r="J8" s="74"/>
      <c r="K8" s="74">
        <v>5</v>
      </c>
      <c r="L8" s="80"/>
    </row>
    <row r="9" spans="1:12" s="76" customFormat="1" x14ac:dyDescent="0.25">
      <c r="A9" s="158" t="s">
        <v>136</v>
      </c>
      <c r="B9" s="75" t="s">
        <v>137</v>
      </c>
      <c r="C9" s="79">
        <v>209</v>
      </c>
      <c r="D9" s="77">
        <f t="shared" si="0"/>
        <v>27</v>
      </c>
      <c r="E9" s="74">
        <v>236</v>
      </c>
      <c r="F9" s="77">
        <f>H9-E9</f>
        <v>-236</v>
      </c>
      <c r="G9" s="79"/>
      <c r="H9" s="74">
        <f t="shared" si="1"/>
        <v>0</v>
      </c>
      <c r="I9" s="74"/>
      <c r="J9" s="74"/>
      <c r="K9" s="74"/>
      <c r="L9" s="80"/>
    </row>
    <row r="10" spans="1:12" s="76" customFormat="1" x14ac:dyDescent="0.25">
      <c r="A10" s="158" t="s">
        <v>138</v>
      </c>
      <c r="B10" s="75" t="s">
        <v>139</v>
      </c>
      <c r="C10" s="79">
        <f>66-48</f>
        <v>18</v>
      </c>
      <c r="D10" s="77">
        <f t="shared" si="0"/>
        <v>30</v>
      </c>
      <c r="E10" s="74">
        <f>149-101</f>
        <v>48</v>
      </c>
      <c r="F10" s="77">
        <f>H10-E10</f>
        <v>0</v>
      </c>
      <c r="G10" s="79">
        <v>54</v>
      </c>
      <c r="H10" s="74">
        <f t="shared" si="1"/>
        <v>48</v>
      </c>
      <c r="I10" s="74"/>
      <c r="J10" s="74"/>
      <c r="K10" s="74">
        <v>6</v>
      </c>
      <c r="L10" s="80"/>
    </row>
    <row r="11" spans="1:12" s="76" customFormat="1" x14ac:dyDescent="0.25">
      <c r="A11" s="158" t="s">
        <v>140</v>
      </c>
      <c r="B11" s="75" t="s">
        <v>141</v>
      </c>
      <c r="C11" s="79">
        <v>0</v>
      </c>
      <c r="D11" s="77">
        <f t="shared" si="0"/>
        <v>0</v>
      </c>
      <c r="E11" s="74">
        <v>0</v>
      </c>
      <c r="F11" s="77">
        <f>H11-E11</f>
        <v>0</v>
      </c>
      <c r="G11" s="79">
        <v>51</v>
      </c>
      <c r="H11" s="74">
        <f t="shared" si="1"/>
        <v>0</v>
      </c>
      <c r="I11" s="74"/>
      <c r="J11" s="74"/>
      <c r="K11" s="74">
        <v>51</v>
      </c>
      <c r="L11" s="80"/>
    </row>
    <row r="12" spans="1:12" s="76" customFormat="1" x14ac:dyDescent="0.25">
      <c r="A12" s="158" t="s">
        <v>142</v>
      </c>
      <c r="B12" s="75" t="s">
        <v>143</v>
      </c>
      <c r="C12" s="79">
        <v>70</v>
      </c>
      <c r="D12" s="77">
        <f t="shared" si="0"/>
        <v>0</v>
      </c>
      <c r="E12" s="74">
        <v>70</v>
      </c>
      <c r="F12" s="77">
        <f>H12-E12</f>
        <v>-8</v>
      </c>
      <c r="G12" s="79">
        <v>70</v>
      </c>
      <c r="H12" s="74">
        <f t="shared" si="1"/>
        <v>62</v>
      </c>
      <c r="I12" s="74"/>
      <c r="J12" s="74"/>
      <c r="K12" s="74">
        <v>8</v>
      </c>
      <c r="L12" s="80"/>
    </row>
    <row r="13" spans="1:12" s="76" customFormat="1" x14ac:dyDescent="0.25">
      <c r="A13" s="158" t="s">
        <v>144</v>
      </c>
      <c r="B13" s="75" t="s">
        <v>145</v>
      </c>
      <c r="C13" s="79">
        <v>826</v>
      </c>
      <c r="D13" s="77">
        <f t="shared" si="0"/>
        <v>-131</v>
      </c>
      <c r="E13" s="74">
        <v>695</v>
      </c>
      <c r="F13" s="77">
        <f>H13-E13</f>
        <v>137.5</v>
      </c>
      <c r="G13" s="79">
        <f>369.5+465</f>
        <v>834.5</v>
      </c>
      <c r="H13" s="74">
        <f t="shared" si="1"/>
        <v>832.5</v>
      </c>
      <c r="I13" s="74"/>
      <c r="J13" s="74"/>
      <c r="K13" s="74">
        <v>2</v>
      </c>
      <c r="L13" s="80"/>
    </row>
    <row r="14" spans="1:12" s="76" customFormat="1" x14ac:dyDescent="0.25">
      <c r="A14" s="158" t="s">
        <v>146</v>
      </c>
      <c r="B14" s="75" t="s">
        <v>147</v>
      </c>
      <c r="C14" s="79">
        <v>1785</v>
      </c>
      <c r="D14" s="77">
        <f t="shared" si="0"/>
        <v>165</v>
      </c>
      <c r="E14" s="74">
        <v>1950</v>
      </c>
      <c r="F14" s="77">
        <f>H14-E14</f>
        <v>5</v>
      </c>
      <c r="G14" s="79">
        <v>2470</v>
      </c>
      <c r="H14" s="74">
        <f t="shared" si="1"/>
        <v>1955</v>
      </c>
      <c r="I14" s="74"/>
      <c r="J14" s="74"/>
      <c r="K14" s="74"/>
      <c r="L14" s="80">
        <v>515</v>
      </c>
    </row>
    <row r="15" spans="1:12" s="76" customFormat="1" x14ac:dyDescent="0.25">
      <c r="A15" s="158" t="s">
        <v>148</v>
      </c>
      <c r="B15" s="75" t="s">
        <v>149</v>
      </c>
      <c r="C15" s="79">
        <v>37</v>
      </c>
      <c r="D15" s="77">
        <f t="shared" si="0"/>
        <v>-5</v>
      </c>
      <c r="E15" s="74">
        <f>32+50-50</f>
        <v>32</v>
      </c>
      <c r="F15" s="77">
        <f>H15-E15</f>
        <v>41.5</v>
      </c>
      <c r="G15" s="79">
        <f>37+41.5</f>
        <v>78.5</v>
      </c>
      <c r="H15" s="74">
        <f t="shared" si="1"/>
        <v>73.5</v>
      </c>
      <c r="I15" s="74"/>
      <c r="J15" s="74">
        <v>900</v>
      </c>
      <c r="K15" s="74">
        <v>5</v>
      </c>
      <c r="L15" s="80"/>
    </row>
    <row r="16" spans="1:12" s="76" customFormat="1" x14ac:dyDescent="0.25">
      <c r="A16" s="158" t="s">
        <v>150</v>
      </c>
      <c r="B16" s="75" t="s">
        <v>151</v>
      </c>
      <c r="C16" s="79">
        <v>20</v>
      </c>
      <c r="D16" s="77">
        <f t="shared" si="0"/>
        <v>12</v>
      </c>
      <c r="E16" s="74">
        <v>32</v>
      </c>
      <c r="F16" s="77">
        <f>H16-E16</f>
        <v>0</v>
      </c>
      <c r="G16" s="79">
        <v>35</v>
      </c>
      <c r="H16" s="74">
        <f t="shared" si="1"/>
        <v>32</v>
      </c>
      <c r="I16" s="74"/>
      <c r="J16" s="74"/>
      <c r="K16" s="74">
        <v>3</v>
      </c>
      <c r="L16" s="80"/>
    </row>
    <row r="17" spans="1:12" s="76" customFormat="1" x14ac:dyDescent="0.25">
      <c r="A17" s="158" t="s">
        <v>152</v>
      </c>
      <c r="B17" s="75" t="s">
        <v>153</v>
      </c>
      <c r="C17" s="79">
        <v>260</v>
      </c>
      <c r="D17" s="77">
        <f t="shared" si="0"/>
        <v>-10</v>
      </c>
      <c r="E17" s="74">
        <v>250</v>
      </c>
      <c r="F17" s="77">
        <f>H17-E17</f>
        <v>0</v>
      </c>
      <c r="G17" s="79">
        <v>250</v>
      </c>
      <c r="H17" s="74">
        <f t="shared" si="1"/>
        <v>250</v>
      </c>
      <c r="I17" s="74"/>
      <c r="J17" s="74"/>
      <c r="K17" s="74"/>
      <c r="L17" s="80"/>
    </row>
    <row r="18" spans="1:12" s="76" customFormat="1" x14ac:dyDescent="0.25">
      <c r="A18" s="158" t="s">
        <v>154</v>
      </c>
      <c r="B18" s="75" t="s">
        <v>155</v>
      </c>
      <c r="C18" s="79">
        <v>56</v>
      </c>
      <c r="D18" s="77">
        <f t="shared" si="0"/>
        <v>-19</v>
      </c>
      <c r="E18" s="74">
        <v>37</v>
      </c>
      <c r="F18" s="77">
        <f>H18-E18</f>
        <v>-1</v>
      </c>
      <c r="G18" s="79">
        <v>46</v>
      </c>
      <c r="H18" s="74">
        <f t="shared" si="1"/>
        <v>36</v>
      </c>
      <c r="I18" s="74"/>
      <c r="J18" s="74"/>
      <c r="K18" s="74">
        <v>10</v>
      </c>
      <c r="L18" s="80"/>
    </row>
    <row r="19" spans="1:12" s="76" customFormat="1" x14ac:dyDescent="0.25">
      <c r="A19" s="158" t="s">
        <v>156</v>
      </c>
      <c r="B19" s="75" t="s">
        <v>157</v>
      </c>
      <c r="C19" s="79">
        <v>39</v>
      </c>
      <c r="D19" s="77">
        <f t="shared" si="0"/>
        <v>3</v>
      </c>
      <c r="E19" s="74">
        <v>42</v>
      </c>
      <c r="F19" s="77">
        <f>H19-E19</f>
        <v>14</v>
      </c>
      <c r="G19" s="79">
        <v>66</v>
      </c>
      <c r="H19" s="74">
        <f t="shared" si="1"/>
        <v>56</v>
      </c>
      <c r="I19" s="74"/>
      <c r="J19" s="74"/>
      <c r="K19" s="74">
        <v>10</v>
      </c>
      <c r="L19" s="80"/>
    </row>
    <row r="20" spans="1:12" s="76" customFormat="1" x14ac:dyDescent="0.25">
      <c r="A20" s="158" t="s">
        <v>158</v>
      </c>
      <c r="B20" s="75" t="s">
        <v>159</v>
      </c>
      <c r="C20" s="79">
        <v>40</v>
      </c>
      <c r="D20" s="77">
        <f t="shared" si="0"/>
        <v>0</v>
      </c>
      <c r="E20" s="74">
        <v>40</v>
      </c>
      <c r="F20" s="77">
        <f>H20-E20</f>
        <v>0</v>
      </c>
      <c r="G20" s="79">
        <v>40</v>
      </c>
      <c r="H20" s="74">
        <f t="shared" si="1"/>
        <v>40</v>
      </c>
      <c r="I20" s="74"/>
      <c r="J20" s="74"/>
      <c r="K20" s="74"/>
      <c r="L20" s="80"/>
    </row>
    <row r="21" spans="1:12" s="76" customFormat="1" x14ac:dyDescent="0.25">
      <c r="A21" s="158" t="s">
        <v>256</v>
      </c>
      <c r="B21" s="75" t="s">
        <v>255</v>
      </c>
      <c r="C21" s="79">
        <v>51</v>
      </c>
      <c r="D21" s="77">
        <f t="shared" si="0"/>
        <v>-41</v>
      </c>
      <c r="E21" s="74">
        <v>10</v>
      </c>
      <c r="F21" s="77">
        <f>H21-E21</f>
        <v>74</v>
      </c>
      <c r="G21" s="79">
        <v>94</v>
      </c>
      <c r="H21" s="74">
        <f t="shared" si="1"/>
        <v>84</v>
      </c>
      <c r="I21" s="74"/>
      <c r="J21" s="74">
        <v>56.3</v>
      </c>
      <c r="K21" s="74">
        <v>10</v>
      </c>
      <c r="L21" s="80"/>
    </row>
    <row r="22" spans="1:12" s="76" customFormat="1" x14ac:dyDescent="0.25">
      <c r="A22" s="158" t="s">
        <v>160</v>
      </c>
      <c r="B22" s="75" t="s">
        <v>161</v>
      </c>
      <c r="C22" s="79">
        <v>30</v>
      </c>
      <c r="D22" s="77">
        <f t="shared" si="0"/>
        <v>0</v>
      </c>
      <c r="E22" s="74">
        <v>30</v>
      </c>
      <c r="F22" s="77">
        <f>H22-E22</f>
        <v>0</v>
      </c>
      <c r="G22" s="79">
        <v>30</v>
      </c>
      <c r="H22" s="74">
        <f t="shared" si="1"/>
        <v>30</v>
      </c>
      <c r="I22" s="74"/>
      <c r="J22" s="74"/>
      <c r="K22" s="74"/>
      <c r="L22" s="80"/>
    </row>
    <row r="23" spans="1:12" s="76" customFormat="1" x14ac:dyDescent="0.25">
      <c r="A23" s="158" t="s">
        <v>162</v>
      </c>
      <c r="B23" s="75" t="s">
        <v>163</v>
      </c>
      <c r="C23" s="79">
        <v>23</v>
      </c>
      <c r="D23" s="77">
        <f t="shared" si="0"/>
        <v>2.5</v>
      </c>
      <c r="E23" s="74">
        <v>25.5</v>
      </c>
      <c r="F23" s="77">
        <f>H23-E23</f>
        <v>2</v>
      </c>
      <c r="G23" s="79">
        <v>27.5</v>
      </c>
      <c r="H23" s="74">
        <f t="shared" si="1"/>
        <v>27.5</v>
      </c>
      <c r="I23" s="74"/>
      <c r="J23" s="74"/>
      <c r="K23" s="74"/>
      <c r="L23" s="80"/>
    </row>
    <row r="24" spans="1:12" s="76" customFormat="1" x14ac:dyDescent="0.25">
      <c r="A24" s="158" t="s">
        <v>164</v>
      </c>
      <c r="B24" s="75" t="s">
        <v>165</v>
      </c>
      <c r="C24" s="79">
        <v>0</v>
      </c>
      <c r="D24" s="77">
        <f t="shared" si="0"/>
        <v>0</v>
      </c>
      <c r="E24" s="74">
        <f>15-15</f>
        <v>0</v>
      </c>
      <c r="F24" s="77">
        <f>H24-E24</f>
        <v>0</v>
      </c>
      <c r="G24" s="79"/>
      <c r="H24" s="74">
        <f t="shared" si="1"/>
        <v>0</v>
      </c>
      <c r="I24" s="74"/>
      <c r="J24" s="74"/>
      <c r="K24" s="74"/>
      <c r="L24" s="80"/>
    </row>
    <row r="25" spans="1:12" s="76" customFormat="1" x14ac:dyDescent="0.25">
      <c r="A25" s="158" t="s">
        <v>166</v>
      </c>
      <c r="B25" s="75" t="s">
        <v>167</v>
      </c>
      <c r="C25" s="79">
        <v>300</v>
      </c>
      <c r="D25" s="77">
        <f t="shared" si="0"/>
        <v>50</v>
      </c>
      <c r="E25" s="74">
        <v>350</v>
      </c>
      <c r="F25" s="77">
        <f>H25-E25</f>
        <v>-90</v>
      </c>
      <c r="G25" s="79">
        <v>260</v>
      </c>
      <c r="H25" s="74">
        <f t="shared" si="1"/>
        <v>260</v>
      </c>
      <c r="I25" s="74"/>
      <c r="J25" s="74"/>
      <c r="K25" s="74"/>
      <c r="L25" s="80"/>
    </row>
    <row r="26" spans="1:12" s="76" customFormat="1" x14ac:dyDescent="0.25">
      <c r="A26" s="158" t="s">
        <v>168</v>
      </c>
      <c r="B26" s="75" t="s">
        <v>169</v>
      </c>
      <c r="C26" s="79">
        <v>100</v>
      </c>
      <c r="D26" s="77">
        <f t="shared" si="0"/>
        <v>0</v>
      </c>
      <c r="E26" s="74">
        <v>100</v>
      </c>
      <c r="F26" s="77">
        <f>H26-E26</f>
        <v>0</v>
      </c>
      <c r="G26" s="79">
        <v>100</v>
      </c>
      <c r="H26" s="74">
        <f t="shared" si="1"/>
        <v>100</v>
      </c>
      <c r="I26" s="74"/>
      <c r="J26" s="74"/>
      <c r="K26" s="74"/>
      <c r="L26" s="80"/>
    </row>
    <row r="27" spans="1:12" s="76" customFormat="1" x14ac:dyDescent="0.25">
      <c r="A27" s="158" t="s">
        <v>170</v>
      </c>
      <c r="B27" s="75" t="s">
        <v>171</v>
      </c>
      <c r="C27" s="79">
        <v>40</v>
      </c>
      <c r="D27" s="77">
        <f t="shared" si="0"/>
        <v>-5</v>
      </c>
      <c r="E27" s="74">
        <v>35</v>
      </c>
      <c r="F27" s="77">
        <f>H27-E27</f>
        <v>0</v>
      </c>
      <c r="G27" s="79">
        <v>35</v>
      </c>
      <c r="H27" s="74">
        <f t="shared" si="1"/>
        <v>35</v>
      </c>
      <c r="I27" s="74"/>
      <c r="J27" s="74"/>
      <c r="K27" s="74"/>
      <c r="L27" s="80"/>
    </row>
    <row r="28" spans="1:12" s="76" customFormat="1" x14ac:dyDescent="0.25">
      <c r="A28" s="158" t="s">
        <v>172</v>
      </c>
      <c r="B28" s="75" t="s">
        <v>173</v>
      </c>
      <c r="C28" s="79">
        <v>540</v>
      </c>
      <c r="D28" s="77">
        <v>0</v>
      </c>
      <c r="E28" s="74">
        <v>540</v>
      </c>
      <c r="F28" s="77">
        <f>H28-E28</f>
        <v>0</v>
      </c>
      <c r="G28" s="79">
        <v>540</v>
      </c>
      <c r="H28" s="74">
        <f t="shared" si="1"/>
        <v>540</v>
      </c>
      <c r="I28" s="74"/>
      <c r="J28" s="74"/>
      <c r="K28" s="74"/>
      <c r="L28" s="80"/>
    </row>
    <row r="29" spans="1:12" s="76" customFormat="1" x14ac:dyDescent="0.25">
      <c r="A29" s="158" t="s">
        <v>174</v>
      </c>
      <c r="B29" s="75" t="s">
        <v>175</v>
      </c>
      <c r="C29" s="79">
        <v>949</v>
      </c>
      <c r="D29" s="77">
        <f t="shared" si="0"/>
        <v>0</v>
      </c>
      <c r="E29" s="74">
        <v>949</v>
      </c>
      <c r="F29" s="77">
        <f>H29-E29</f>
        <v>6</v>
      </c>
      <c r="G29" s="79">
        <v>955</v>
      </c>
      <c r="H29" s="74">
        <f t="shared" si="1"/>
        <v>955</v>
      </c>
      <c r="I29" s="74"/>
      <c r="J29" s="74"/>
      <c r="K29" s="74"/>
      <c r="L29" s="80"/>
    </row>
    <row r="30" spans="1:12" s="76" customFormat="1" x14ac:dyDescent="0.25">
      <c r="A30" s="158" t="s">
        <v>91</v>
      </c>
      <c r="B30" s="75" t="s">
        <v>176</v>
      </c>
      <c r="C30" s="79">
        <v>478</v>
      </c>
      <c r="D30" s="77">
        <f t="shared" si="0"/>
        <v>-478</v>
      </c>
      <c r="E30" s="74">
        <v>0</v>
      </c>
      <c r="F30" s="77">
        <f>H30-E30</f>
        <v>0</v>
      </c>
      <c r="G30" s="79"/>
      <c r="H30" s="74">
        <f t="shared" si="1"/>
        <v>0</v>
      </c>
      <c r="I30" s="74"/>
      <c r="J30" s="74"/>
      <c r="K30" s="74"/>
      <c r="L30" s="80"/>
    </row>
    <row r="31" spans="1:12" s="76" customFormat="1" x14ac:dyDescent="0.25">
      <c r="A31" s="158" t="s">
        <v>93</v>
      </c>
      <c r="B31" s="75" t="s">
        <v>177</v>
      </c>
      <c r="C31" s="79">
        <v>0</v>
      </c>
      <c r="D31" s="77">
        <f t="shared" si="0"/>
        <v>0</v>
      </c>
      <c r="E31" s="74">
        <v>0</v>
      </c>
      <c r="F31" s="77">
        <f>H31-E31</f>
        <v>0</v>
      </c>
      <c r="G31" s="79"/>
      <c r="H31" s="74">
        <f t="shared" si="1"/>
        <v>0</v>
      </c>
      <c r="I31" s="74"/>
      <c r="J31" s="74"/>
      <c r="K31" s="74"/>
      <c r="L31" s="80"/>
    </row>
    <row r="32" spans="1:12" s="76" customFormat="1" x14ac:dyDescent="0.25">
      <c r="A32" s="158" t="s">
        <v>178</v>
      </c>
      <c r="B32" s="75" t="s">
        <v>179</v>
      </c>
      <c r="C32" s="79">
        <v>1500</v>
      </c>
      <c r="D32" s="77">
        <f t="shared" si="0"/>
        <v>300</v>
      </c>
      <c r="E32" s="74">
        <v>1800</v>
      </c>
      <c r="F32" s="77">
        <f>H32-E32</f>
        <v>0</v>
      </c>
      <c r="G32" s="79">
        <v>1800</v>
      </c>
      <c r="H32" s="74">
        <f t="shared" si="1"/>
        <v>1800</v>
      </c>
      <c r="I32" s="74"/>
      <c r="J32" s="74"/>
      <c r="K32" s="74"/>
      <c r="L32" s="80"/>
    </row>
    <row r="33" spans="1:12" s="76" customFormat="1" x14ac:dyDescent="0.25">
      <c r="A33" s="158" t="s">
        <v>180</v>
      </c>
      <c r="B33" s="75" t="s">
        <v>181</v>
      </c>
      <c r="C33" s="79">
        <v>660</v>
      </c>
      <c r="D33" s="77">
        <f t="shared" si="0"/>
        <v>140</v>
      </c>
      <c r="E33" s="74">
        <v>800</v>
      </c>
      <c r="F33" s="77">
        <f>H33-E33</f>
        <v>0</v>
      </c>
      <c r="G33" s="79">
        <v>800</v>
      </c>
      <c r="H33" s="74">
        <f t="shared" si="1"/>
        <v>800</v>
      </c>
      <c r="I33" s="74"/>
      <c r="J33" s="74"/>
      <c r="K33" s="74"/>
      <c r="L33" s="80"/>
    </row>
    <row r="34" spans="1:12" s="76" customFormat="1" x14ac:dyDescent="0.25">
      <c r="A34" s="158" t="s">
        <v>182</v>
      </c>
      <c r="B34" s="75" t="s">
        <v>183</v>
      </c>
      <c r="C34" s="79">
        <v>950</v>
      </c>
      <c r="D34" s="77">
        <f t="shared" si="0"/>
        <v>833</v>
      </c>
      <c r="E34" s="74">
        <v>1783</v>
      </c>
      <c r="F34" s="77">
        <f>H34-E34</f>
        <v>37</v>
      </c>
      <c r="G34" s="79">
        <v>1820</v>
      </c>
      <c r="H34" s="74">
        <f t="shared" si="1"/>
        <v>1820</v>
      </c>
      <c r="I34" s="74"/>
      <c r="J34" s="74"/>
      <c r="K34" s="74"/>
      <c r="L34" s="80"/>
    </row>
    <row r="35" spans="1:12" s="76" customFormat="1" x14ac:dyDescent="0.25">
      <c r="A35" s="158" t="s">
        <v>184</v>
      </c>
      <c r="B35" s="75" t="s">
        <v>185</v>
      </c>
      <c r="C35" s="79">
        <v>0</v>
      </c>
      <c r="D35" s="77">
        <f t="shared" si="0"/>
        <v>580</v>
      </c>
      <c r="E35" s="74">
        <f>580+150-150</f>
        <v>580</v>
      </c>
      <c r="F35" s="77">
        <f>H35-E35</f>
        <v>-580</v>
      </c>
      <c r="G35" s="79">
        <v>496.8</v>
      </c>
      <c r="H35" s="74">
        <f t="shared" si="1"/>
        <v>0</v>
      </c>
      <c r="I35" s="74"/>
      <c r="J35" s="74"/>
      <c r="K35" s="74"/>
      <c r="L35" s="80">
        <v>496.8</v>
      </c>
    </row>
    <row r="36" spans="1:12" s="76" customFormat="1" x14ac:dyDescent="0.25">
      <c r="A36" s="158" t="s">
        <v>186</v>
      </c>
      <c r="B36" s="75" t="s">
        <v>187</v>
      </c>
      <c r="C36" s="79">
        <v>0</v>
      </c>
      <c r="D36" s="77">
        <f t="shared" si="0"/>
        <v>0</v>
      </c>
      <c r="E36" s="74"/>
      <c r="F36" s="77">
        <f>H36-E36</f>
        <v>0</v>
      </c>
      <c r="G36" s="79">
        <v>0</v>
      </c>
      <c r="H36" s="74">
        <f t="shared" si="1"/>
        <v>0</v>
      </c>
      <c r="I36" s="74"/>
      <c r="J36" s="74"/>
      <c r="K36" s="74"/>
      <c r="L36" s="80"/>
    </row>
    <row r="37" spans="1:12" s="76" customFormat="1" x14ac:dyDescent="0.25">
      <c r="A37" s="158" t="s">
        <v>188</v>
      </c>
      <c r="B37" s="75" t="s">
        <v>189</v>
      </c>
      <c r="C37" s="79">
        <v>16</v>
      </c>
      <c r="D37" s="77">
        <f t="shared" si="0"/>
        <v>-10</v>
      </c>
      <c r="E37" s="74">
        <v>6</v>
      </c>
      <c r="F37" s="77">
        <f>H37-E37</f>
        <v>0</v>
      </c>
      <c r="G37" s="79">
        <v>6</v>
      </c>
      <c r="H37" s="74">
        <f t="shared" si="1"/>
        <v>6</v>
      </c>
      <c r="I37" s="74"/>
      <c r="J37" s="74"/>
      <c r="K37" s="74"/>
      <c r="L37" s="80"/>
    </row>
    <row r="38" spans="1:12" s="76" customFormat="1" x14ac:dyDescent="0.25">
      <c r="A38" s="158" t="s">
        <v>190</v>
      </c>
      <c r="B38" s="75" t="s">
        <v>191</v>
      </c>
      <c r="C38" s="79">
        <v>110</v>
      </c>
      <c r="D38" s="77">
        <f t="shared" si="0"/>
        <v>-35</v>
      </c>
      <c r="E38" s="74">
        <v>75</v>
      </c>
      <c r="F38" s="77">
        <f>H38-E38</f>
        <v>6.5</v>
      </c>
      <c r="G38" s="79">
        <v>231.5</v>
      </c>
      <c r="H38" s="74">
        <f t="shared" si="1"/>
        <v>81.5</v>
      </c>
      <c r="I38" s="74"/>
      <c r="J38" s="74"/>
      <c r="K38" s="74">
        <v>150</v>
      </c>
      <c r="L38" s="80"/>
    </row>
    <row r="39" spans="1:12" s="76" customFormat="1" x14ac:dyDescent="0.25">
      <c r="A39" s="158" t="s">
        <v>257</v>
      </c>
      <c r="B39" s="75" t="s">
        <v>192</v>
      </c>
      <c r="C39" s="79">
        <v>150</v>
      </c>
      <c r="D39" s="77">
        <f t="shared" si="0"/>
        <v>500</v>
      </c>
      <c r="E39" s="74">
        <f>150+500</f>
        <v>650</v>
      </c>
      <c r="F39" s="77">
        <f>H39-E39</f>
        <v>-290</v>
      </c>
      <c r="G39" s="79">
        <v>360</v>
      </c>
      <c r="H39" s="74">
        <f t="shared" si="1"/>
        <v>360</v>
      </c>
      <c r="I39" s="74"/>
      <c r="J39" s="74"/>
      <c r="K39" s="74"/>
      <c r="L39" s="80"/>
    </row>
    <row r="40" spans="1:12" s="76" customFormat="1" x14ac:dyDescent="0.25">
      <c r="A40" s="158" t="s">
        <v>193</v>
      </c>
      <c r="B40" s="75" t="s">
        <v>194</v>
      </c>
      <c r="C40" s="79">
        <v>130</v>
      </c>
      <c r="D40" s="77">
        <f t="shared" si="0"/>
        <v>-130</v>
      </c>
      <c r="E40" s="74">
        <v>0</v>
      </c>
      <c r="F40" s="77">
        <f>H40-E40</f>
        <v>0</v>
      </c>
      <c r="G40" s="79">
        <v>150</v>
      </c>
      <c r="H40" s="74">
        <f t="shared" si="1"/>
        <v>0</v>
      </c>
      <c r="I40" s="74"/>
      <c r="J40" s="74"/>
      <c r="K40" s="74"/>
      <c r="L40" s="80">
        <v>150</v>
      </c>
    </row>
    <row r="41" spans="1:12" s="76" customFormat="1" x14ac:dyDescent="0.25">
      <c r="A41" s="158" t="s">
        <v>195</v>
      </c>
      <c r="B41" s="75" t="s">
        <v>196</v>
      </c>
      <c r="C41" s="79">
        <v>0</v>
      </c>
      <c r="D41" s="77">
        <f t="shared" si="0"/>
        <v>0</v>
      </c>
      <c r="E41" s="74">
        <v>0</v>
      </c>
      <c r="F41" s="77">
        <f>H41-E41</f>
        <v>0</v>
      </c>
      <c r="G41" s="79">
        <v>27</v>
      </c>
      <c r="H41" s="74">
        <f t="shared" si="1"/>
        <v>0</v>
      </c>
      <c r="I41" s="74"/>
      <c r="J41" s="74"/>
      <c r="K41" s="74">
        <v>27</v>
      </c>
      <c r="L41" s="80"/>
    </row>
    <row r="42" spans="1:12" s="76" customFormat="1" x14ac:dyDescent="0.25">
      <c r="A42" s="158" t="s">
        <v>197</v>
      </c>
      <c r="B42" s="75" t="s">
        <v>198</v>
      </c>
      <c r="C42" s="79">
        <v>0</v>
      </c>
      <c r="D42" s="77">
        <f t="shared" si="0"/>
        <v>0</v>
      </c>
      <c r="E42" s="74"/>
      <c r="F42" s="77">
        <f>H42-E42</f>
        <v>0</v>
      </c>
      <c r="G42" s="79">
        <v>0</v>
      </c>
      <c r="H42" s="74">
        <f t="shared" si="1"/>
        <v>0</v>
      </c>
      <c r="I42" s="74"/>
      <c r="J42" s="74"/>
      <c r="K42" s="74"/>
      <c r="L42" s="80"/>
    </row>
    <row r="43" spans="1:12" s="76" customFormat="1" x14ac:dyDescent="0.25">
      <c r="A43" s="158" t="s">
        <v>199</v>
      </c>
      <c r="B43" s="75" t="s">
        <v>200</v>
      </c>
      <c r="C43" s="79">
        <v>0</v>
      </c>
      <c r="D43" s="77">
        <f t="shared" si="0"/>
        <v>0</v>
      </c>
      <c r="E43" s="74">
        <v>0</v>
      </c>
      <c r="F43" s="77">
        <f>H43-E43</f>
        <v>0</v>
      </c>
      <c r="G43" s="79">
        <f>850-260</f>
        <v>590</v>
      </c>
      <c r="H43" s="74">
        <f t="shared" si="1"/>
        <v>0</v>
      </c>
      <c r="I43" s="74"/>
      <c r="J43" s="74"/>
      <c r="K43" s="74">
        <v>590</v>
      </c>
      <c r="L43" s="80"/>
    </row>
    <row r="44" spans="1:12" s="76" customFormat="1" x14ac:dyDescent="0.25">
      <c r="A44" s="158" t="s">
        <v>201</v>
      </c>
      <c r="B44" s="75" t="s">
        <v>202</v>
      </c>
      <c r="C44" s="79">
        <v>0</v>
      </c>
      <c r="D44" s="77">
        <f t="shared" si="0"/>
        <v>0</v>
      </c>
      <c r="E44" s="74">
        <v>0</v>
      </c>
      <c r="F44" s="77">
        <f>H44-E44</f>
        <v>0</v>
      </c>
      <c r="G44" s="79">
        <v>260</v>
      </c>
      <c r="H44" s="74">
        <f t="shared" si="1"/>
        <v>0</v>
      </c>
      <c r="I44" s="74"/>
      <c r="J44" s="74"/>
      <c r="K44" s="74">
        <v>260</v>
      </c>
      <c r="L44" s="80"/>
    </row>
    <row r="45" spans="1:12" s="76" customFormat="1" x14ac:dyDescent="0.25">
      <c r="A45" s="158" t="s">
        <v>203</v>
      </c>
      <c r="B45" s="75" t="s">
        <v>204</v>
      </c>
      <c r="C45" s="79">
        <v>300</v>
      </c>
      <c r="D45" s="77">
        <f t="shared" si="0"/>
        <v>-300</v>
      </c>
      <c r="E45" s="74">
        <v>0</v>
      </c>
      <c r="F45" s="77">
        <f>H45-E45</f>
        <v>0</v>
      </c>
      <c r="G45" s="79">
        <v>200</v>
      </c>
      <c r="H45" s="74">
        <f t="shared" si="1"/>
        <v>0</v>
      </c>
      <c r="I45" s="74"/>
      <c r="J45" s="74"/>
      <c r="K45" s="74"/>
      <c r="L45" s="80">
        <v>200</v>
      </c>
    </row>
    <row r="46" spans="1:12" s="76" customFormat="1" x14ac:dyDescent="0.25">
      <c r="A46" s="158" t="s">
        <v>205</v>
      </c>
      <c r="B46" s="75" t="s">
        <v>206</v>
      </c>
      <c r="C46" s="79">
        <v>160</v>
      </c>
      <c r="D46" s="77">
        <f t="shared" si="0"/>
        <v>60</v>
      </c>
      <c r="E46" s="74">
        <f>280-60</f>
        <v>220</v>
      </c>
      <c r="F46" s="77">
        <f>H46-E46</f>
        <v>60</v>
      </c>
      <c r="G46" s="79">
        <v>280</v>
      </c>
      <c r="H46" s="74">
        <f t="shared" si="1"/>
        <v>280</v>
      </c>
      <c r="I46" s="74"/>
      <c r="J46" s="74"/>
      <c r="K46" s="74"/>
      <c r="L46" s="80"/>
    </row>
    <row r="47" spans="1:12" s="76" customFormat="1" x14ac:dyDescent="0.25">
      <c r="A47" s="158" t="s">
        <v>207</v>
      </c>
      <c r="B47" s="75" t="s">
        <v>208</v>
      </c>
      <c r="C47" s="79">
        <v>0</v>
      </c>
      <c r="D47" s="77">
        <f t="shared" si="0"/>
        <v>0</v>
      </c>
      <c r="E47" s="74">
        <v>0</v>
      </c>
      <c r="F47" s="77">
        <f>H47-E47</f>
        <v>1000</v>
      </c>
      <c r="G47" s="79">
        <v>1000</v>
      </c>
      <c r="H47" s="74">
        <f t="shared" si="1"/>
        <v>1000</v>
      </c>
      <c r="I47" s="74"/>
      <c r="J47" s="74"/>
      <c r="K47" s="74"/>
      <c r="L47" s="80"/>
    </row>
    <row r="48" spans="1:12" s="76" customFormat="1" x14ac:dyDescent="0.25">
      <c r="A48" s="158" t="s">
        <v>209</v>
      </c>
      <c r="B48" s="75" t="s">
        <v>210</v>
      </c>
      <c r="C48" s="79">
        <v>2157</v>
      </c>
      <c r="D48" s="77">
        <f t="shared" si="0"/>
        <v>43</v>
      </c>
      <c r="E48" s="74">
        <v>2200</v>
      </c>
      <c r="F48" s="77">
        <f>H48-E48</f>
        <v>0</v>
      </c>
      <c r="G48" s="79">
        <v>2200</v>
      </c>
      <c r="H48" s="74">
        <f t="shared" si="1"/>
        <v>2200</v>
      </c>
      <c r="I48" s="74"/>
      <c r="J48" s="74"/>
      <c r="K48" s="74"/>
      <c r="L48" s="80"/>
    </row>
    <row r="49" spans="1:12" s="76" customFormat="1" x14ac:dyDescent="0.25">
      <c r="A49" s="158" t="s">
        <v>211</v>
      </c>
      <c r="B49" s="75" t="s">
        <v>212</v>
      </c>
      <c r="C49" s="79">
        <v>120</v>
      </c>
      <c r="D49" s="77">
        <f t="shared" si="0"/>
        <v>270</v>
      </c>
      <c r="E49" s="74">
        <v>390</v>
      </c>
      <c r="F49" s="77">
        <f>H49-E49</f>
        <v>320</v>
      </c>
      <c r="G49" s="79">
        <v>765</v>
      </c>
      <c r="H49" s="74">
        <f t="shared" si="1"/>
        <v>710</v>
      </c>
      <c r="I49" s="74"/>
      <c r="J49" s="74"/>
      <c r="K49" s="74"/>
      <c r="L49" s="80">
        <v>55</v>
      </c>
    </row>
    <row r="50" spans="1:12" s="76" customFormat="1" x14ac:dyDescent="0.25">
      <c r="A50" s="158" t="s">
        <v>213</v>
      </c>
      <c r="B50" s="75" t="s">
        <v>214</v>
      </c>
      <c r="C50" s="79">
        <v>150</v>
      </c>
      <c r="D50" s="77">
        <f t="shared" si="0"/>
        <v>-50</v>
      </c>
      <c r="E50" s="74">
        <v>100</v>
      </c>
      <c r="F50" s="77">
        <f>H50-E50</f>
        <v>0</v>
      </c>
      <c r="G50" s="79">
        <v>100</v>
      </c>
      <c r="H50" s="74">
        <f t="shared" si="1"/>
        <v>100</v>
      </c>
      <c r="I50" s="74"/>
      <c r="J50" s="74"/>
      <c r="K50" s="74"/>
      <c r="L50" s="80"/>
    </row>
    <row r="51" spans="1:12" s="76" customFormat="1" x14ac:dyDescent="0.25">
      <c r="A51" s="158" t="s">
        <v>215</v>
      </c>
      <c r="B51" s="75" t="s">
        <v>216</v>
      </c>
      <c r="C51" s="79">
        <v>150</v>
      </c>
      <c r="D51" s="77">
        <f t="shared" si="0"/>
        <v>-30</v>
      </c>
      <c r="E51" s="74">
        <v>120</v>
      </c>
      <c r="F51" s="77">
        <f>H51-E51</f>
        <v>8</v>
      </c>
      <c r="G51" s="79">
        <v>128</v>
      </c>
      <c r="H51" s="74">
        <f t="shared" si="1"/>
        <v>128</v>
      </c>
      <c r="I51" s="74"/>
      <c r="J51" s="74"/>
      <c r="K51" s="74"/>
      <c r="L51" s="80"/>
    </row>
    <row r="52" spans="1:12" s="76" customFormat="1" x14ac:dyDescent="0.25">
      <c r="A52" s="158" t="s">
        <v>217</v>
      </c>
      <c r="B52" s="75" t="s">
        <v>218</v>
      </c>
      <c r="C52" s="79">
        <v>0</v>
      </c>
      <c r="D52" s="77">
        <f t="shared" si="0"/>
        <v>150</v>
      </c>
      <c r="E52" s="74">
        <v>150</v>
      </c>
      <c r="F52" s="77">
        <f>H52-E52</f>
        <v>-30</v>
      </c>
      <c r="G52" s="79">
        <v>120</v>
      </c>
      <c r="H52" s="74">
        <f t="shared" si="1"/>
        <v>120</v>
      </c>
      <c r="I52" s="74"/>
      <c r="J52" s="74"/>
      <c r="K52" s="74"/>
      <c r="L52" s="80"/>
    </row>
    <row r="53" spans="1:12" s="76" customFormat="1" x14ac:dyDescent="0.25">
      <c r="A53" s="158" t="s">
        <v>219</v>
      </c>
      <c r="B53" s="75" t="s">
        <v>220</v>
      </c>
      <c r="C53" s="79">
        <v>30</v>
      </c>
      <c r="D53" s="77">
        <f t="shared" si="0"/>
        <v>-30</v>
      </c>
      <c r="E53" s="74"/>
      <c r="F53" s="77">
        <f>H53-E53</f>
        <v>0</v>
      </c>
      <c r="G53" s="79">
        <v>250</v>
      </c>
      <c r="H53" s="74">
        <f t="shared" si="1"/>
        <v>0</v>
      </c>
      <c r="I53" s="74">
        <v>250</v>
      </c>
      <c r="J53" s="74"/>
      <c r="K53" s="74"/>
      <c r="L53" s="80"/>
    </row>
    <row r="54" spans="1:12" s="76" customFormat="1" x14ac:dyDescent="0.25">
      <c r="A54" s="158" t="s">
        <v>221</v>
      </c>
      <c r="B54" s="75" t="s">
        <v>222</v>
      </c>
      <c r="C54" s="79">
        <v>0</v>
      </c>
      <c r="D54" s="77">
        <f t="shared" si="0"/>
        <v>0</v>
      </c>
      <c r="E54" s="74">
        <v>0</v>
      </c>
      <c r="F54" s="77">
        <f>H54-E54</f>
        <v>150</v>
      </c>
      <c r="G54" s="79">
        <v>252</v>
      </c>
      <c r="H54" s="74">
        <f t="shared" si="1"/>
        <v>150</v>
      </c>
      <c r="I54" s="74">
        <v>102</v>
      </c>
      <c r="J54" s="74"/>
      <c r="K54" s="74"/>
      <c r="L54" s="80"/>
    </row>
    <row r="55" spans="1:12" s="76" customFormat="1" x14ac:dyDescent="0.25">
      <c r="A55" s="158" t="s">
        <v>223</v>
      </c>
      <c r="B55" s="75" t="s">
        <v>224</v>
      </c>
      <c r="C55" s="79">
        <v>694</v>
      </c>
      <c r="D55" s="77">
        <f t="shared" si="0"/>
        <v>110</v>
      </c>
      <c r="E55" s="74">
        <f>884-80</f>
        <v>804</v>
      </c>
      <c r="F55" s="77">
        <f>H55-E55</f>
        <v>20</v>
      </c>
      <c r="G55" s="79">
        <v>824</v>
      </c>
      <c r="H55" s="74">
        <f t="shared" si="1"/>
        <v>824</v>
      </c>
      <c r="I55" s="74"/>
      <c r="J55" s="74"/>
      <c r="K55" s="74"/>
      <c r="L55" s="80"/>
    </row>
    <row r="56" spans="1:12" s="76" customFormat="1" x14ac:dyDescent="0.25">
      <c r="A56" s="158" t="s">
        <v>225</v>
      </c>
      <c r="B56" s="75" t="s">
        <v>226</v>
      </c>
      <c r="C56" s="79">
        <v>1035</v>
      </c>
      <c r="D56" s="77">
        <f t="shared" si="0"/>
        <v>-8</v>
      </c>
      <c r="E56" s="74">
        <v>1027</v>
      </c>
      <c r="F56" s="77">
        <f>H56-E56</f>
        <v>-21</v>
      </c>
      <c r="G56" s="79">
        <v>1006</v>
      </c>
      <c r="H56" s="74">
        <f t="shared" si="1"/>
        <v>1006</v>
      </c>
      <c r="I56" s="74"/>
      <c r="J56" s="74"/>
      <c r="K56" s="74"/>
      <c r="L56" s="80"/>
    </row>
    <row r="57" spans="1:12" s="76" customFormat="1" x14ac:dyDescent="0.25">
      <c r="A57" s="158" t="s">
        <v>227</v>
      </c>
      <c r="B57" s="75" t="s">
        <v>228</v>
      </c>
      <c r="C57" s="79">
        <v>2568</v>
      </c>
      <c r="D57" s="77">
        <f t="shared" si="0"/>
        <v>3</v>
      </c>
      <c r="E57" s="74">
        <f>2691-120</f>
        <v>2571</v>
      </c>
      <c r="F57" s="77">
        <f>H57-E57</f>
        <v>145</v>
      </c>
      <c r="G57" s="79">
        <v>2716</v>
      </c>
      <c r="H57" s="74">
        <f t="shared" si="1"/>
        <v>2716</v>
      </c>
      <c r="I57" s="74"/>
      <c r="J57" s="74"/>
      <c r="K57" s="74"/>
      <c r="L57" s="80"/>
    </row>
    <row r="58" spans="1:12" s="76" customFormat="1" x14ac:dyDescent="0.25">
      <c r="A58" s="158" t="s">
        <v>229</v>
      </c>
      <c r="B58" s="75" t="s">
        <v>230</v>
      </c>
      <c r="C58" s="79">
        <v>745</v>
      </c>
      <c r="D58" s="77">
        <f t="shared" si="0"/>
        <v>38</v>
      </c>
      <c r="E58" s="74">
        <v>783</v>
      </c>
      <c r="F58" s="77">
        <f>H58-E58</f>
        <v>344</v>
      </c>
      <c r="G58" s="79">
        <v>1127</v>
      </c>
      <c r="H58" s="74">
        <f t="shared" si="1"/>
        <v>1127</v>
      </c>
      <c r="I58" s="74"/>
      <c r="J58" s="74"/>
      <c r="K58" s="74"/>
      <c r="L58" s="80"/>
    </row>
    <row r="59" spans="1:12" s="76" customFormat="1" x14ac:dyDescent="0.25">
      <c r="A59" s="158" t="s">
        <v>231</v>
      </c>
      <c r="B59" s="75" t="s">
        <v>232</v>
      </c>
      <c r="C59" s="79">
        <v>250</v>
      </c>
      <c r="D59" s="77">
        <f t="shared" si="0"/>
        <v>30</v>
      </c>
      <c r="E59" s="74">
        <v>280</v>
      </c>
      <c r="F59" s="77">
        <f>H59-E59</f>
        <v>-66</v>
      </c>
      <c r="G59" s="79">
        <v>214</v>
      </c>
      <c r="H59" s="74">
        <f t="shared" si="1"/>
        <v>214</v>
      </c>
      <c r="I59" s="74"/>
      <c r="J59" s="74"/>
      <c r="K59" s="74"/>
      <c r="L59" s="80"/>
    </row>
    <row r="60" spans="1:12" s="76" customFormat="1" x14ac:dyDescent="0.25">
      <c r="A60" s="158" t="s">
        <v>233</v>
      </c>
      <c r="B60" s="75" t="s">
        <v>234</v>
      </c>
      <c r="C60" s="79">
        <v>280</v>
      </c>
      <c r="D60" s="77">
        <f t="shared" si="0"/>
        <v>-30</v>
      </c>
      <c r="E60" s="74">
        <v>250</v>
      </c>
      <c r="F60" s="77">
        <f>H60-E60</f>
        <v>-50</v>
      </c>
      <c r="G60" s="79">
        <v>200</v>
      </c>
      <c r="H60" s="74">
        <f t="shared" si="1"/>
        <v>200</v>
      </c>
      <c r="I60" s="74"/>
      <c r="J60" s="74"/>
      <c r="K60" s="74"/>
      <c r="L60" s="80"/>
    </row>
    <row r="61" spans="1:12" s="76" customFormat="1" x14ac:dyDescent="0.25">
      <c r="A61" s="158" t="s">
        <v>235</v>
      </c>
      <c r="B61" s="75" t="s">
        <v>179</v>
      </c>
      <c r="C61" s="79">
        <v>0</v>
      </c>
      <c r="D61" s="77">
        <f t="shared" si="0"/>
        <v>300</v>
      </c>
      <c r="E61" s="74">
        <v>300</v>
      </c>
      <c r="F61" s="77">
        <f>H61-E61</f>
        <v>0</v>
      </c>
      <c r="G61" s="79">
        <v>300</v>
      </c>
      <c r="H61" s="74">
        <f t="shared" si="1"/>
        <v>300</v>
      </c>
      <c r="I61" s="74"/>
      <c r="J61" s="74"/>
      <c r="K61" s="74"/>
      <c r="L61" s="80"/>
    </row>
    <row r="62" spans="1:12" s="76" customFormat="1" x14ac:dyDescent="0.25">
      <c r="A62" s="158" t="s">
        <v>236</v>
      </c>
      <c r="B62" s="75" t="s">
        <v>237</v>
      </c>
      <c r="C62" s="79">
        <v>0</v>
      </c>
      <c r="D62" s="77">
        <f t="shared" si="0"/>
        <v>0</v>
      </c>
      <c r="E62" s="74">
        <v>0</v>
      </c>
      <c r="F62" s="77">
        <f>H62-E62</f>
        <v>0</v>
      </c>
      <c r="G62" s="79">
        <v>5</v>
      </c>
      <c r="H62" s="74">
        <f t="shared" si="1"/>
        <v>0</v>
      </c>
      <c r="I62" s="74"/>
      <c r="J62" s="74"/>
      <c r="K62" s="74">
        <v>5</v>
      </c>
      <c r="L62" s="80"/>
    </row>
    <row r="63" spans="1:12" s="76" customFormat="1" x14ac:dyDescent="0.25">
      <c r="A63" s="158" t="s">
        <v>238</v>
      </c>
      <c r="B63" s="75" t="s">
        <v>239</v>
      </c>
      <c r="C63" s="79">
        <v>6560</v>
      </c>
      <c r="D63" s="77">
        <f t="shared" si="0"/>
        <v>-504</v>
      </c>
      <c r="E63" s="74">
        <f>10183-300-3827</f>
        <v>6056</v>
      </c>
      <c r="F63" s="77">
        <f>H63-E63</f>
        <v>-496</v>
      </c>
      <c r="G63" s="79">
        <f>5860-300</f>
        <v>5560</v>
      </c>
      <c r="H63" s="74">
        <f t="shared" si="1"/>
        <v>5560</v>
      </c>
      <c r="I63" s="74"/>
      <c r="J63" s="74"/>
      <c r="K63" s="74"/>
      <c r="L63" s="80"/>
    </row>
    <row r="64" spans="1:12" s="76" customFormat="1" x14ac:dyDescent="0.25">
      <c r="A64" s="158" t="s">
        <v>240</v>
      </c>
      <c r="B64" s="75" t="s">
        <v>241</v>
      </c>
      <c r="C64" s="79">
        <v>10480</v>
      </c>
      <c r="D64" s="77">
        <f t="shared" si="0"/>
        <v>2775</v>
      </c>
      <c r="E64" s="74">
        <v>13255</v>
      </c>
      <c r="F64" s="77">
        <f>H64-E64</f>
        <v>638</v>
      </c>
      <c r="G64" s="79">
        <v>13893</v>
      </c>
      <c r="H64" s="74">
        <f t="shared" si="1"/>
        <v>13893</v>
      </c>
      <c r="I64" s="74"/>
      <c r="J64" s="74"/>
      <c r="K64" s="74"/>
      <c r="L64" s="80"/>
    </row>
    <row r="65" spans="1:12" s="76" customFormat="1" x14ac:dyDescent="0.25">
      <c r="A65" s="158" t="s">
        <v>242</v>
      </c>
      <c r="B65" s="75" t="s">
        <v>243</v>
      </c>
      <c r="C65" s="79">
        <v>154</v>
      </c>
      <c r="D65" s="77">
        <f t="shared" si="0"/>
        <v>6</v>
      </c>
      <c r="E65" s="74">
        <v>160</v>
      </c>
      <c r="F65" s="77">
        <f>H65-E65</f>
        <v>25</v>
      </c>
      <c r="G65" s="79">
        <v>185</v>
      </c>
      <c r="H65" s="74">
        <f t="shared" si="1"/>
        <v>185</v>
      </c>
      <c r="I65" s="74"/>
      <c r="J65" s="74"/>
      <c r="K65" s="74"/>
      <c r="L65" s="80"/>
    </row>
    <row r="66" spans="1:12" s="76" customFormat="1" x14ac:dyDescent="0.25">
      <c r="A66" s="158" t="s">
        <v>244</v>
      </c>
      <c r="B66" s="75" t="s">
        <v>245</v>
      </c>
      <c r="C66" s="79">
        <v>2700</v>
      </c>
      <c r="D66" s="77">
        <f t="shared" si="0"/>
        <v>-2700</v>
      </c>
      <c r="E66" s="74"/>
      <c r="F66" s="77"/>
      <c r="G66" s="85" t="s">
        <v>72</v>
      </c>
      <c r="H66" s="86" t="s">
        <v>72</v>
      </c>
      <c r="I66" s="74"/>
      <c r="J66" s="74"/>
      <c r="K66" s="74"/>
      <c r="L66" s="80"/>
    </row>
    <row r="67" spans="1:12" s="76" customFormat="1" x14ac:dyDescent="0.25">
      <c r="A67" s="158" t="s">
        <v>246</v>
      </c>
      <c r="B67" s="75" t="s">
        <v>239</v>
      </c>
      <c r="C67" s="79">
        <v>0</v>
      </c>
      <c r="D67" s="77">
        <f t="shared" si="0"/>
        <v>3827</v>
      </c>
      <c r="E67" s="74">
        <v>3827</v>
      </c>
      <c r="F67" s="77">
        <f>H67-E67</f>
        <v>1272</v>
      </c>
      <c r="G67" s="79">
        <v>5099</v>
      </c>
      <c r="H67" s="74">
        <f t="shared" si="1"/>
        <v>5099</v>
      </c>
      <c r="I67" s="74"/>
      <c r="J67" s="74"/>
      <c r="K67" s="74"/>
      <c r="L67" s="80"/>
    </row>
    <row r="68" spans="1:12" s="76" customFormat="1" x14ac:dyDescent="0.25">
      <c r="A68" s="158" t="s">
        <v>247</v>
      </c>
      <c r="B68" s="75" t="s">
        <v>248</v>
      </c>
      <c r="C68" s="79">
        <v>690</v>
      </c>
      <c r="D68" s="77">
        <f t="shared" si="0"/>
        <v>-5</v>
      </c>
      <c r="E68" s="74">
        <v>685</v>
      </c>
      <c r="F68" s="77">
        <f>H68-E68</f>
        <v>-14</v>
      </c>
      <c r="G68" s="79">
        <v>671</v>
      </c>
      <c r="H68" s="74">
        <f t="shared" si="1"/>
        <v>671</v>
      </c>
      <c r="I68" s="74"/>
      <c r="J68" s="74"/>
      <c r="K68" s="74"/>
      <c r="L68" s="80"/>
    </row>
    <row r="69" spans="1:12" s="76" customFormat="1" x14ac:dyDescent="0.25">
      <c r="A69" s="158" t="s">
        <v>164</v>
      </c>
      <c r="B69" s="75" t="s">
        <v>249</v>
      </c>
      <c r="C69" s="79">
        <v>720</v>
      </c>
      <c r="D69" s="77">
        <f t="shared" ref="D69:D70" si="2">E69-C69</f>
        <v>-720</v>
      </c>
      <c r="E69" s="74"/>
      <c r="F69" s="77"/>
      <c r="G69" s="85" t="s">
        <v>72</v>
      </c>
      <c r="H69" s="86" t="s">
        <v>72</v>
      </c>
      <c r="I69" s="74"/>
      <c r="J69" s="74"/>
      <c r="K69" s="74"/>
      <c r="L69" s="80"/>
    </row>
    <row r="70" spans="1:12" s="76" customFormat="1" x14ac:dyDescent="0.25">
      <c r="A70" s="159" t="s">
        <v>250</v>
      </c>
      <c r="B70" s="75" t="s">
        <v>251</v>
      </c>
      <c r="C70" s="96">
        <v>5156</v>
      </c>
      <c r="D70" s="99">
        <f t="shared" si="2"/>
        <v>-5156</v>
      </c>
      <c r="E70" s="102"/>
      <c r="F70" s="77"/>
      <c r="G70" s="85" t="s">
        <v>72</v>
      </c>
      <c r="H70" s="86" t="s">
        <v>72</v>
      </c>
      <c r="I70" s="89"/>
      <c r="J70" s="89"/>
      <c r="K70" s="89"/>
      <c r="L70" s="91"/>
    </row>
    <row r="71" spans="1:12" s="76" customFormat="1" x14ac:dyDescent="0.25">
      <c r="A71" s="159"/>
      <c r="B71" s="75" t="s">
        <v>252</v>
      </c>
      <c r="C71" s="97"/>
      <c r="D71" s="100"/>
      <c r="E71" s="103"/>
      <c r="F71" s="77"/>
      <c r="G71" s="87" t="s">
        <v>72</v>
      </c>
      <c r="H71" s="88" t="s">
        <v>72</v>
      </c>
      <c r="I71" s="90"/>
      <c r="J71" s="90"/>
      <c r="K71" s="90"/>
      <c r="L71" s="92"/>
    </row>
    <row r="72" spans="1:12" s="76" customFormat="1" x14ac:dyDescent="0.25">
      <c r="A72" s="159"/>
      <c r="B72" s="75" t="s">
        <v>253</v>
      </c>
      <c r="C72" s="98"/>
      <c r="D72" s="101"/>
      <c r="E72" s="103"/>
      <c r="F72" s="77"/>
      <c r="G72" s="87" t="s">
        <v>72</v>
      </c>
      <c r="H72" s="88" t="s">
        <v>72</v>
      </c>
      <c r="I72" s="90"/>
      <c r="J72" s="90"/>
      <c r="K72" s="90"/>
      <c r="L72" s="92"/>
    </row>
    <row r="73" spans="1:12" s="76" customFormat="1" ht="15.75" thickBot="1" x14ac:dyDescent="0.3">
      <c r="A73" s="160"/>
      <c r="B73" s="161" t="s">
        <v>254</v>
      </c>
      <c r="C73" s="104">
        <f t="shared" ref="C73:L73" si="3">SUM(C5:C72)</f>
        <v>76817</v>
      </c>
      <c r="D73" s="82">
        <f t="shared" si="3"/>
        <v>6504.5</v>
      </c>
      <c r="E73" s="105">
        <f t="shared" si="3"/>
        <v>83321.5</v>
      </c>
      <c r="F73" s="82">
        <f>SUM(F5:F72)</f>
        <v>2353.920000000001</v>
      </c>
      <c r="G73" s="81">
        <f t="shared" si="3"/>
        <v>88820.94</v>
      </c>
      <c r="H73" s="105">
        <f t="shared" si="3"/>
        <v>85675.42</v>
      </c>
      <c r="I73" s="83">
        <f t="shared" si="3"/>
        <v>496.72</v>
      </c>
      <c r="J73" s="83">
        <f t="shared" si="3"/>
        <v>956.3</v>
      </c>
      <c r="K73" s="83">
        <f t="shared" si="3"/>
        <v>1232</v>
      </c>
      <c r="L73" s="84">
        <f t="shared" si="3"/>
        <v>1416.8</v>
      </c>
    </row>
    <row r="74" spans="1:12" s="76" customFormat="1" x14ac:dyDescent="0.25">
      <c r="B74" s="76" t="s">
        <v>300</v>
      </c>
      <c r="D74" s="78"/>
      <c r="E74" s="76">
        <v>855.17899999999997</v>
      </c>
      <c r="F74" s="209">
        <f>F73-E74</f>
        <v>1498.7410000000009</v>
      </c>
    </row>
    <row r="75" spans="1:12" s="76" customFormat="1" x14ac:dyDescent="0.25">
      <c r="D75" s="78"/>
      <c r="F75" s="78"/>
    </row>
    <row r="76" spans="1:12" s="76" customFormat="1" x14ac:dyDescent="0.25">
      <c r="D76" s="78"/>
      <c r="F76" s="78"/>
    </row>
    <row r="77" spans="1:12" s="76" customFormat="1" x14ac:dyDescent="0.25">
      <c r="D77" s="78"/>
      <c r="F77" s="78"/>
    </row>
    <row r="78" spans="1:12" s="76" customFormat="1" x14ac:dyDescent="0.25">
      <c r="D78" s="78"/>
      <c r="F78" s="78"/>
    </row>
    <row r="79" spans="1:12" s="76" customFormat="1" x14ac:dyDescent="0.25">
      <c r="D79" s="78"/>
      <c r="F79" s="78"/>
    </row>
  </sheetData>
  <mergeCells count="5">
    <mergeCell ref="G3:L3"/>
    <mergeCell ref="A70:A72"/>
    <mergeCell ref="C70:C72"/>
    <mergeCell ref="D70:D72"/>
    <mergeCell ref="E70:E72"/>
  </mergeCells>
  <pageMargins left="0.70866141732283472" right="0.70866141732283472" top="0.78740157480314965" bottom="0.78740157480314965" header="0.31496062992125984" footer="0.31496062992125984"/>
  <pageSetup paperSize="9" scale="63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7"/>
  <sheetViews>
    <sheetView zoomScaleNormal="100" workbookViewId="0">
      <pane xSplit="2" ySplit="4" topLeftCell="W41" activePane="bottomRight" state="frozen"/>
      <selection pane="topRight" activeCell="C1" sqref="C1"/>
      <selection pane="bottomLeft" activeCell="A4" sqref="A4"/>
      <selection pane="bottomRight" activeCell="AF45" sqref="AF45:AF54"/>
    </sheetView>
  </sheetViews>
  <sheetFormatPr defaultRowHeight="11.25" x14ac:dyDescent="0.2"/>
  <cols>
    <col min="1" max="1" width="10.42578125" style="64" customWidth="1"/>
    <col min="2" max="2" width="26" style="64" customWidth="1"/>
    <col min="3" max="3" width="10" style="64" customWidth="1"/>
    <col min="4" max="4" width="11.28515625" style="65" customWidth="1"/>
    <col min="5" max="5" width="9.7109375" style="66" customWidth="1"/>
    <col min="6" max="6" width="11.5703125" style="67" customWidth="1"/>
    <col min="7" max="7" width="11.42578125" style="66" customWidth="1"/>
    <col min="8" max="8" width="8.85546875" style="64" customWidth="1"/>
    <col min="9" max="9" width="9.28515625" style="64" customWidth="1"/>
    <col min="10" max="10" width="9.42578125" style="64" customWidth="1"/>
    <col min="11" max="11" width="11.28515625" style="68" customWidth="1"/>
    <col min="12" max="12" width="10.42578125" style="68" customWidth="1"/>
    <col min="13" max="15" width="12.140625" style="64" customWidth="1"/>
    <col min="16" max="17" width="12.140625" style="70" customWidth="1"/>
    <col min="18" max="18" width="11.140625" style="64" customWidth="1"/>
    <col min="19" max="19" width="12.140625" style="64" customWidth="1"/>
    <col min="20" max="31" width="12" style="64" customWidth="1"/>
    <col min="32" max="32" width="20.5703125" style="64" customWidth="1"/>
    <col min="33" max="16384" width="9.140625" style="64"/>
  </cols>
  <sheetData>
    <row r="1" spans="1:33" s="2" customFormat="1" ht="15" customHeight="1" x14ac:dyDescent="0.3">
      <c r="A1" s="202" t="s">
        <v>295</v>
      </c>
      <c r="D1" s="3"/>
      <c r="E1" s="4"/>
      <c r="F1" s="5"/>
      <c r="G1" s="4"/>
      <c r="K1" s="6"/>
      <c r="L1" s="6"/>
      <c r="P1" s="7"/>
      <c r="Q1" s="7"/>
    </row>
    <row r="2" spans="1:33" s="2" customFormat="1" ht="15" customHeight="1" x14ac:dyDescent="0.25">
      <c r="A2" s="1"/>
      <c r="D2" s="3"/>
      <c r="E2" s="4"/>
      <c r="F2" s="5"/>
      <c r="G2" s="4"/>
      <c r="K2" s="6"/>
      <c r="L2" s="6"/>
      <c r="P2" s="7"/>
      <c r="Q2" s="7"/>
    </row>
    <row r="4" spans="1:33" s="32" customFormat="1" ht="101.25" x14ac:dyDescent="0.2">
      <c r="A4" s="8" t="s">
        <v>0</v>
      </c>
      <c r="B4" s="9" t="s">
        <v>1</v>
      </c>
      <c r="C4" s="10" t="s">
        <v>2</v>
      </c>
      <c r="D4" s="11" t="s">
        <v>3</v>
      </c>
      <c r="E4" s="12" t="s">
        <v>4</v>
      </c>
      <c r="F4" s="11" t="s">
        <v>5</v>
      </c>
      <c r="G4" s="13" t="s">
        <v>6</v>
      </c>
      <c r="H4" s="14" t="s">
        <v>7</v>
      </c>
      <c r="I4" s="15" t="s">
        <v>8</v>
      </c>
      <c r="J4" s="14" t="s">
        <v>9</v>
      </c>
      <c r="K4" s="13" t="s">
        <v>10</v>
      </c>
      <c r="L4" s="16" t="s">
        <v>11</v>
      </c>
      <c r="M4" s="17" t="s">
        <v>12</v>
      </c>
      <c r="N4" s="17" t="s">
        <v>13</v>
      </c>
      <c r="O4" s="17" t="s">
        <v>14</v>
      </c>
      <c r="P4" s="17" t="s">
        <v>15</v>
      </c>
      <c r="Q4" s="17" t="s">
        <v>16</v>
      </c>
      <c r="R4" s="18" t="s">
        <v>17</v>
      </c>
      <c r="S4" s="19" t="s">
        <v>18</v>
      </c>
      <c r="T4" s="20" t="s">
        <v>19</v>
      </c>
      <c r="U4" s="20" t="s">
        <v>20</v>
      </c>
      <c r="V4" s="21" t="s">
        <v>21</v>
      </c>
      <c r="W4" s="22" t="s">
        <v>22</v>
      </c>
      <c r="X4" s="23" t="s">
        <v>23</v>
      </c>
      <c r="Y4" s="23" t="s">
        <v>24</v>
      </c>
      <c r="Z4" s="24" t="s">
        <v>25</v>
      </c>
      <c r="AA4" s="25" t="s">
        <v>26</v>
      </c>
      <c r="AB4" s="26" t="s">
        <v>27</v>
      </c>
      <c r="AC4" s="27" t="s">
        <v>28</v>
      </c>
      <c r="AD4" s="28" t="s">
        <v>29</v>
      </c>
      <c r="AE4" s="29" t="s">
        <v>30</v>
      </c>
      <c r="AF4" s="30" t="s">
        <v>31</v>
      </c>
      <c r="AG4" s="31"/>
    </row>
    <row r="5" spans="1:33" s="32" customFormat="1" x14ac:dyDescent="0.2">
      <c r="A5" s="33" t="s">
        <v>32</v>
      </c>
      <c r="B5" s="34" t="s">
        <v>33</v>
      </c>
      <c r="C5" s="34"/>
      <c r="D5" s="35"/>
      <c r="E5" s="36"/>
      <c r="F5" s="37"/>
      <c r="G5" s="36"/>
      <c r="H5" s="37"/>
      <c r="I5" s="37"/>
      <c r="J5" s="37"/>
      <c r="K5" s="36"/>
      <c r="L5" s="36"/>
      <c r="M5" s="38"/>
      <c r="N5" s="38"/>
      <c r="O5" s="38"/>
      <c r="P5" s="38"/>
      <c r="Q5" s="38"/>
      <c r="R5" s="38"/>
      <c r="S5" s="38">
        <f t="shared" ref="S5:S7" si="0">P5+R5</f>
        <v>0</v>
      </c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</row>
    <row r="6" spans="1:33" s="32" customFormat="1" x14ac:dyDescent="0.2">
      <c r="A6" s="39" t="s">
        <v>32</v>
      </c>
      <c r="B6" s="40" t="s">
        <v>34</v>
      </c>
      <c r="C6" s="40"/>
      <c r="D6" s="41" t="s">
        <v>35</v>
      </c>
      <c r="E6" s="42">
        <v>548.38</v>
      </c>
      <c r="F6" s="43">
        <v>3</v>
      </c>
      <c r="G6" s="44">
        <v>3</v>
      </c>
      <c r="H6" s="45" t="s">
        <v>36</v>
      </c>
      <c r="I6" s="45" t="s">
        <v>36</v>
      </c>
      <c r="J6" s="45" t="s">
        <v>36</v>
      </c>
      <c r="K6" s="46" t="s">
        <v>36</v>
      </c>
      <c r="L6" s="46" t="s">
        <v>36</v>
      </c>
      <c r="M6" s="47">
        <v>580993.98400000005</v>
      </c>
      <c r="N6" s="47">
        <v>6020130.8040456418</v>
      </c>
      <c r="O6" s="47">
        <v>997130.80404564214</v>
      </c>
      <c r="P6" s="48">
        <f>SUM(M6:N6)</f>
        <v>6601124.788045642</v>
      </c>
      <c r="Q6" s="48">
        <f t="shared" ref="Q6:Q7" si="1">SUM(M6:N6)-O6</f>
        <v>5603993.9840000002</v>
      </c>
      <c r="R6" s="49"/>
      <c r="S6" s="50">
        <f t="shared" si="0"/>
        <v>6601124.788045642</v>
      </c>
      <c r="T6" s="48" t="s">
        <v>36</v>
      </c>
      <c r="U6" s="48" t="s">
        <v>36</v>
      </c>
      <c r="V6" s="48" t="s">
        <v>36</v>
      </c>
      <c r="W6" s="48" t="s">
        <v>36</v>
      </c>
      <c r="X6" s="48" t="s">
        <v>36</v>
      </c>
      <c r="Y6" s="48" t="s">
        <v>36</v>
      </c>
      <c r="Z6" s="48" t="s">
        <v>36</v>
      </c>
      <c r="AA6" s="48" t="s">
        <v>36</v>
      </c>
      <c r="AB6" s="48" t="s">
        <v>36</v>
      </c>
      <c r="AC6" s="48" t="s">
        <v>36</v>
      </c>
      <c r="AD6" s="48" t="s">
        <v>36</v>
      </c>
      <c r="AE6" s="48" t="s">
        <v>36</v>
      </c>
      <c r="AF6" s="48" t="s">
        <v>36</v>
      </c>
    </row>
    <row r="7" spans="1:33" s="32" customFormat="1" x14ac:dyDescent="0.2">
      <c r="A7" s="39" t="str">
        <f t="shared" ref="A7:A40" si="2">$A$5</f>
        <v>Rektorát</v>
      </c>
      <c r="B7" s="40"/>
      <c r="C7" s="40"/>
      <c r="D7" s="41"/>
      <c r="E7" s="51"/>
      <c r="F7" s="52"/>
      <c r="G7" s="51"/>
      <c r="H7" s="45" t="s">
        <v>36</v>
      </c>
      <c r="I7" s="45" t="s">
        <v>36</v>
      </c>
      <c r="J7" s="45" t="s">
        <v>36</v>
      </c>
      <c r="K7" s="46" t="s">
        <v>36</v>
      </c>
      <c r="L7" s="46" t="s">
        <v>36</v>
      </c>
      <c r="M7" s="47"/>
      <c r="N7" s="47"/>
      <c r="O7" s="47"/>
      <c r="P7" s="48">
        <f>SUM(M7:N7)</f>
        <v>0</v>
      </c>
      <c r="Q7" s="48">
        <f t="shared" si="1"/>
        <v>0</v>
      </c>
      <c r="R7" s="47"/>
      <c r="S7" s="50">
        <f t="shared" si="0"/>
        <v>0</v>
      </c>
      <c r="T7" s="48" t="s">
        <v>36</v>
      </c>
      <c r="U7" s="48" t="s">
        <v>36</v>
      </c>
      <c r="V7" s="48" t="s">
        <v>36</v>
      </c>
      <c r="W7" s="48" t="s">
        <v>36</v>
      </c>
      <c r="X7" s="48" t="s">
        <v>36</v>
      </c>
      <c r="Y7" s="48" t="s">
        <v>36</v>
      </c>
      <c r="Z7" s="48" t="s">
        <v>36</v>
      </c>
      <c r="AA7" s="48" t="s">
        <v>36</v>
      </c>
      <c r="AB7" s="48" t="s">
        <v>36</v>
      </c>
      <c r="AC7" s="48" t="s">
        <v>36</v>
      </c>
      <c r="AD7" s="48" t="s">
        <v>36</v>
      </c>
      <c r="AE7" s="48" t="s">
        <v>36</v>
      </c>
      <c r="AF7" s="48" t="s">
        <v>36</v>
      </c>
    </row>
    <row r="8" spans="1:33" s="32" customFormat="1" x14ac:dyDescent="0.2">
      <c r="A8" s="39" t="str">
        <f t="shared" si="2"/>
        <v>Rektorát</v>
      </c>
      <c r="B8" s="39" t="s">
        <v>37</v>
      </c>
      <c r="C8" s="39"/>
      <c r="D8" s="53"/>
      <c r="E8" s="46">
        <f>SUM(E6:E7)</f>
        <v>548.38</v>
      </c>
      <c r="F8" s="46">
        <f>SUM(F6:F7)</f>
        <v>3</v>
      </c>
      <c r="G8" s="46">
        <f>SUM(G6:G7)</f>
        <v>3</v>
      </c>
      <c r="H8" s="45"/>
      <c r="I8" s="45"/>
      <c r="J8" s="45"/>
      <c r="K8" s="46"/>
      <c r="L8" s="46"/>
      <c r="M8" s="48">
        <f>SUM(M6:M7)</f>
        <v>580993.98400000005</v>
      </c>
      <c r="N8" s="48">
        <f>SUM(N6:N7)</f>
        <v>6020130.8040456418</v>
      </c>
      <c r="O8" s="48">
        <f>SUM(O6:O7)</f>
        <v>997130.80404564214</v>
      </c>
      <c r="P8" s="48">
        <f>SUM(P6:P7)</f>
        <v>6601124.788045642</v>
      </c>
      <c r="Q8" s="48">
        <f t="shared" ref="Q8:S8" si="3">SUM(Q6:Q7)</f>
        <v>5603993.9840000002</v>
      </c>
      <c r="R8" s="48">
        <f>SUM(R6:R7)</f>
        <v>0</v>
      </c>
      <c r="S8" s="50">
        <f t="shared" si="3"/>
        <v>6601124.788045642</v>
      </c>
      <c r="T8" s="50">
        <f>S8</f>
        <v>6601124.788045642</v>
      </c>
      <c r="U8" s="48" t="s">
        <v>36</v>
      </c>
      <c r="V8" s="48" t="s">
        <v>36</v>
      </c>
      <c r="W8" s="48" t="s">
        <v>36</v>
      </c>
      <c r="X8" s="48" t="s">
        <v>36</v>
      </c>
      <c r="Y8" s="48" t="s">
        <v>36</v>
      </c>
      <c r="Z8" s="48" t="s">
        <v>36</v>
      </c>
      <c r="AA8" s="48" t="s">
        <v>36</v>
      </c>
      <c r="AB8" s="48" t="s">
        <v>36</v>
      </c>
      <c r="AC8" s="48" t="s">
        <v>36</v>
      </c>
      <c r="AD8" s="48" t="s">
        <v>36</v>
      </c>
      <c r="AE8" s="48" t="s">
        <v>36</v>
      </c>
      <c r="AF8" s="48" t="s">
        <v>36</v>
      </c>
    </row>
    <row r="9" spans="1:33" s="32" customFormat="1" x14ac:dyDescent="0.2">
      <c r="A9" s="33"/>
      <c r="B9" s="34" t="s">
        <v>38</v>
      </c>
      <c r="C9" s="34"/>
      <c r="D9" s="35"/>
      <c r="E9" s="36"/>
      <c r="F9" s="37"/>
      <c r="G9" s="36"/>
      <c r="H9" s="37"/>
      <c r="I9" s="37"/>
      <c r="J9" s="37"/>
      <c r="K9" s="36"/>
      <c r="L9" s="36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</row>
    <row r="10" spans="1:33" s="32" customFormat="1" ht="22.5" x14ac:dyDescent="0.2">
      <c r="A10" s="39" t="s">
        <v>39</v>
      </c>
      <c r="B10" s="40" t="s">
        <v>40</v>
      </c>
      <c r="C10" s="40"/>
      <c r="D10" s="41" t="s">
        <v>41</v>
      </c>
      <c r="E10" s="42">
        <v>628.38</v>
      </c>
      <c r="F10" s="43">
        <v>16</v>
      </c>
      <c r="G10" s="44">
        <v>16.608000000000001</v>
      </c>
      <c r="H10" s="45" t="s">
        <v>36</v>
      </c>
      <c r="I10" s="45" t="s">
        <v>36</v>
      </c>
      <c r="J10" s="45" t="s">
        <v>36</v>
      </c>
      <c r="K10" s="46" t="s">
        <v>36</v>
      </c>
      <c r="L10" s="46" t="s">
        <v>36</v>
      </c>
      <c r="M10" s="47">
        <v>5175922.4955199994</v>
      </c>
      <c r="N10" s="47">
        <v>7906123.8549648486</v>
      </c>
      <c r="O10" s="47">
        <v>633469.25496484933</v>
      </c>
      <c r="P10" s="48">
        <f t="shared" ref="P10:P11" si="4">SUM(M10:N10)</f>
        <v>13082046.350484848</v>
      </c>
      <c r="Q10" s="48">
        <f t="shared" ref="Q10:Q11" si="5">SUM(M10:N10)-O10</f>
        <v>12448577.095519999</v>
      </c>
      <c r="R10" s="47"/>
      <c r="S10" s="54">
        <f t="shared" ref="S10:S11" si="6">P10+R10</f>
        <v>13082046.350484848</v>
      </c>
      <c r="T10" s="48" t="s">
        <v>36</v>
      </c>
      <c r="U10" s="48" t="s">
        <v>36</v>
      </c>
      <c r="V10" s="48" t="s">
        <v>36</v>
      </c>
      <c r="W10" s="48" t="s">
        <v>36</v>
      </c>
      <c r="X10" s="48" t="s">
        <v>36</v>
      </c>
      <c r="Y10" s="48" t="s">
        <v>36</v>
      </c>
      <c r="Z10" s="48" t="s">
        <v>36</v>
      </c>
      <c r="AA10" s="48" t="s">
        <v>36</v>
      </c>
      <c r="AB10" s="48" t="s">
        <v>36</v>
      </c>
      <c r="AC10" s="48" t="s">
        <v>36</v>
      </c>
      <c r="AD10" s="48" t="s">
        <v>36</v>
      </c>
      <c r="AE10" s="48" t="s">
        <v>36</v>
      </c>
      <c r="AF10" s="48" t="s">
        <v>36</v>
      </c>
    </row>
    <row r="11" spans="1:33" s="32" customFormat="1" x14ac:dyDescent="0.2">
      <c r="A11" s="39" t="str">
        <f t="shared" si="2"/>
        <v>Rektorát</v>
      </c>
      <c r="B11" s="40"/>
      <c r="C11" s="40"/>
      <c r="D11" s="41"/>
      <c r="E11" s="51"/>
      <c r="F11" s="52"/>
      <c r="G11" s="51"/>
      <c r="H11" s="45" t="s">
        <v>36</v>
      </c>
      <c r="I11" s="45" t="s">
        <v>36</v>
      </c>
      <c r="J11" s="45" t="s">
        <v>36</v>
      </c>
      <c r="K11" s="46" t="s">
        <v>36</v>
      </c>
      <c r="L11" s="46" t="s">
        <v>36</v>
      </c>
      <c r="M11" s="47"/>
      <c r="N11" s="47"/>
      <c r="O11" s="47"/>
      <c r="P11" s="48">
        <f t="shared" si="4"/>
        <v>0</v>
      </c>
      <c r="Q11" s="48">
        <f t="shared" si="5"/>
        <v>0</v>
      </c>
      <c r="R11" s="47"/>
      <c r="S11" s="54">
        <f t="shared" si="6"/>
        <v>0</v>
      </c>
      <c r="T11" s="48" t="s">
        <v>36</v>
      </c>
      <c r="U11" s="48" t="s">
        <v>36</v>
      </c>
      <c r="V11" s="48" t="s">
        <v>36</v>
      </c>
      <c r="W11" s="48" t="s">
        <v>36</v>
      </c>
      <c r="X11" s="48" t="s">
        <v>36</v>
      </c>
      <c r="Y11" s="48" t="s">
        <v>36</v>
      </c>
      <c r="Z11" s="48" t="s">
        <v>36</v>
      </c>
      <c r="AA11" s="48" t="s">
        <v>36</v>
      </c>
      <c r="AB11" s="48" t="s">
        <v>36</v>
      </c>
      <c r="AC11" s="48" t="s">
        <v>36</v>
      </c>
      <c r="AD11" s="48" t="s">
        <v>36</v>
      </c>
      <c r="AE11" s="48" t="s">
        <v>36</v>
      </c>
      <c r="AF11" s="48" t="s">
        <v>36</v>
      </c>
    </row>
    <row r="12" spans="1:33" s="32" customFormat="1" x14ac:dyDescent="0.2">
      <c r="A12" s="39" t="str">
        <f t="shared" si="2"/>
        <v>Rektorát</v>
      </c>
      <c r="B12" s="39" t="s">
        <v>42</v>
      </c>
      <c r="C12" s="39"/>
      <c r="D12" s="53"/>
      <c r="E12" s="46">
        <f>SUM(E10:E11)</f>
        <v>628.38</v>
      </c>
      <c r="F12" s="46">
        <f t="shared" ref="F12:G12" si="7">SUM(F10:F11)</f>
        <v>16</v>
      </c>
      <c r="G12" s="46">
        <f t="shared" si="7"/>
        <v>16.608000000000001</v>
      </c>
      <c r="H12" s="45"/>
      <c r="I12" s="45"/>
      <c r="J12" s="45"/>
      <c r="K12" s="46"/>
      <c r="L12" s="46"/>
      <c r="M12" s="48">
        <f t="shared" ref="M12:O12" si="8">SUM(M10:M11)</f>
        <v>5175922.4955199994</v>
      </c>
      <c r="N12" s="48">
        <f t="shared" si="8"/>
        <v>7906123.8549648486</v>
      </c>
      <c r="O12" s="48">
        <f t="shared" si="8"/>
        <v>633469.25496484933</v>
      </c>
      <c r="P12" s="48">
        <f>SUM(P10:P11)</f>
        <v>13082046.350484848</v>
      </c>
      <c r="Q12" s="48">
        <f t="shared" ref="Q12:S12" si="9">SUM(Q10:Q11)</f>
        <v>12448577.095519999</v>
      </c>
      <c r="R12" s="48">
        <f>SUM(R10:R11)</f>
        <v>0</v>
      </c>
      <c r="S12" s="54">
        <f t="shared" si="9"/>
        <v>13082046.350484848</v>
      </c>
      <c r="T12" s="48" t="s">
        <v>36</v>
      </c>
      <c r="U12" s="50">
        <f>$T$8/SUM($E$56-$E$8-$E$54-$E$35)*E12</f>
        <v>1482646.4480993808</v>
      </c>
      <c r="V12" s="54">
        <f>S12+U12</f>
        <v>14564692.798584228</v>
      </c>
      <c r="W12" s="48" t="s">
        <v>36</v>
      </c>
      <c r="X12" s="48" t="s">
        <v>36</v>
      </c>
      <c r="Y12" s="48" t="s">
        <v>36</v>
      </c>
      <c r="Z12" s="48" t="s">
        <v>36</v>
      </c>
      <c r="AA12" s="48" t="s">
        <v>36</v>
      </c>
      <c r="AB12" s="48" t="s">
        <v>36</v>
      </c>
      <c r="AC12" s="48" t="s">
        <v>36</v>
      </c>
      <c r="AD12" s="48" t="s">
        <v>36</v>
      </c>
      <c r="AE12" s="48" t="s">
        <v>36</v>
      </c>
      <c r="AF12" s="48" t="s">
        <v>36</v>
      </c>
    </row>
    <row r="13" spans="1:33" s="32" customFormat="1" x14ac:dyDescent="0.2">
      <c r="A13" s="33"/>
      <c r="B13" s="34" t="s">
        <v>43</v>
      </c>
      <c r="C13" s="34"/>
      <c r="D13" s="35"/>
      <c r="E13" s="36"/>
      <c r="F13" s="37"/>
      <c r="G13" s="36"/>
      <c r="H13" s="37"/>
      <c r="I13" s="37"/>
      <c r="J13" s="37"/>
      <c r="K13" s="36"/>
      <c r="L13" s="36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</row>
    <row r="14" spans="1:33" s="32" customFormat="1" ht="22.5" x14ac:dyDescent="0.2">
      <c r="A14" s="39" t="str">
        <f t="shared" si="2"/>
        <v>Rektorát</v>
      </c>
      <c r="B14" s="40" t="s">
        <v>44</v>
      </c>
      <c r="C14" s="40"/>
      <c r="D14" s="41" t="s">
        <v>45</v>
      </c>
      <c r="E14" s="42">
        <v>139.65</v>
      </c>
      <c r="F14" s="43">
        <v>7</v>
      </c>
      <c r="G14" s="44">
        <v>6.1669999999999998</v>
      </c>
      <c r="H14" s="45" t="s">
        <v>36</v>
      </c>
      <c r="I14" s="45" t="s">
        <v>36</v>
      </c>
      <c r="J14" s="45" t="s">
        <v>36</v>
      </c>
      <c r="K14" s="46" t="s">
        <v>36</v>
      </c>
      <c r="L14" s="46" t="s">
        <v>36</v>
      </c>
      <c r="M14" s="47">
        <f>3311029.94+399.16</f>
        <v>3311429.1</v>
      </c>
      <c r="N14" s="47">
        <v>678296.16020896123</v>
      </c>
      <c r="O14" s="47">
        <v>156796.16020896134</v>
      </c>
      <c r="P14" s="48">
        <f t="shared" ref="P14:P15" si="10">SUM(M14:N14)</f>
        <v>3989725.2602089616</v>
      </c>
      <c r="Q14" s="48">
        <f t="shared" ref="Q14:Q15" si="11">SUM(M14:N14)-O14</f>
        <v>3832929.1</v>
      </c>
      <c r="R14" s="47"/>
      <c r="S14" s="55">
        <f t="shared" ref="S14:S15" si="12">P14+R14</f>
        <v>3989725.2602089616</v>
      </c>
      <c r="T14" s="48" t="s">
        <v>36</v>
      </c>
      <c r="U14" s="48" t="s">
        <v>36</v>
      </c>
      <c r="V14" s="48" t="s">
        <v>36</v>
      </c>
      <c r="W14" s="48" t="s">
        <v>36</v>
      </c>
      <c r="X14" s="48" t="s">
        <v>36</v>
      </c>
      <c r="Y14" s="48" t="s">
        <v>36</v>
      </c>
      <c r="Z14" s="48" t="s">
        <v>36</v>
      </c>
      <c r="AA14" s="48" t="s">
        <v>36</v>
      </c>
      <c r="AB14" s="48" t="s">
        <v>36</v>
      </c>
      <c r="AC14" s="48" t="s">
        <v>36</v>
      </c>
      <c r="AD14" s="48" t="s">
        <v>36</v>
      </c>
      <c r="AE14" s="48" t="s">
        <v>36</v>
      </c>
      <c r="AF14" s="48" t="s">
        <v>36</v>
      </c>
    </row>
    <row r="15" spans="1:33" s="32" customFormat="1" x14ac:dyDescent="0.2">
      <c r="A15" s="39" t="str">
        <f t="shared" si="2"/>
        <v>Rektorát</v>
      </c>
      <c r="B15" s="40"/>
      <c r="C15" s="40"/>
      <c r="D15" s="41"/>
      <c r="E15" s="51"/>
      <c r="F15" s="52"/>
      <c r="G15" s="51"/>
      <c r="H15" s="45" t="s">
        <v>36</v>
      </c>
      <c r="I15" s="45" t="s">
        <v>36</v>
      </c>
      <c r="J15" s="45" t="s">
        <v>36</v>
      </c>
      <c r="K15" s="46" t="s">
        <v>36</v>
      </c>
      <c r="L15" s="46" t="s">
        <v>36</v>
      </c>
      <c r="M15" s="47"/>
      <c r="N15" s="47"/>
      <c r="O15" s="47"/>
      <c r="P15" s="48">
        <f t="shared" si="10"/>
        <v>0</v>
      </c>
      <c r="Q15" s="48">
        <f t="shared" si="11"/>
        <v>0</v>
      </c>
      <c r="R15" s="47"/>
      <c r="S15" s="55">
        <f t="shared" si="12"/>
        <v>0</v>
      </c>
      <c r="T15" s="48" t="s">
        <v>36</v>
      </c>
      <c r="U15" s="48" t="s">
        <v>36</v>
      </c>
      <c r="V15" s="48" t="s">
        <v>36</v>
      </c>
      <c r="W15" s="48" t="s">
        <v>36</v>
      </c>
      <c r="X15" s="48" t="s">
        <v>36</v>
      </c>
      <c r="Y15" s="48" t="s">
        <v>36</v>
      </c>
      <c r="Z15" s="48" t="s">
        <v>36</v>
      </c>
      <c r="AA15" s="48" t="s">
        <v>36</v>
      </c>
      <c r="AB15" s="48" t="s">
        <v>36</v>
      </c>
      <c r="AC15" s="48" t="s">
        <v>36</v>
      </c>
      <c r="AD15" s="48" t="s">
        <v>36</v>
      </c>
      <c r="AE15" s="48" t="s">
        <v>36</v>
      </c>
      <c r="AF15" s="48" t="s">
        <v>36</v>
      </c>
    </row>
    <row r="16" spans="1:33" s="32" customFormat="1" x14ac:dyDescent="0.2">
      <c r="A16" s="39" t="str">
        <f t="shared" si="2"/>
        <v>Rektorát</v>
      </c>
      <c r="B16" s="39" t="s">
        <v>46</v>
      </c>
      <c r="C16" s="39"/>
      <c r="D16" s="53"/>
      <c r="E16" s="46">
        <f>SUM(E14:E15)</f>
        <v>139.65</v>
      </c>
      <c r="F16" s="46">
        <f>SUM(F14:F15)</f>
        <v>7</v>
      </c>
      <c r="G16" s="46">
        <f>SUM(G14:G15)</f>
        <v>6.1669999999999998</v>
      </c>
      <c r="H16" s="45"/>
      <c r="I16" s="45"/>
      <c r="J16" s="45"/>
      <c r="K16" s="46"/>
      <c r="L16" s="46"/>
      <c r="M16" s="48">
        <f t="shared" ref="M16:O16" si="13">SUM(M14:M15)</f>
        <v>3311429.1</v>
      </c>
      <c r="N16" s="48">
        <f t="shared" si="13"/>
        <v>678296.16020896123</v>
      </c>
      <c r="O16" s="48">
        <f t="shared" si="13"/>
        <v>156796.16020896134</v>
      </c>
      <c r="P16" s="48">
        <f>SUM(P14:P15)</f>
        <v>3989725.2602089616</v>
      </c>
      <c r="Q16" s="48">
        <f t="shared" ref="Q16:S16" si="14">SUM(Q14:Q15)</f>
        <v>3832929.1</v>
      </c>
      <c r="R16" s="48">
        <f>SUM(R14:R15)</f>
        <v>0</v>
      </c>
      <c r="S16" s="55">
        <f t="shared" si="14"/>
        <v>3989725.2602089616</v>
      </c>
      <c r="T16" s="48" t="s">
        <v>36</v>
      </c>
      <c r="U16" s="50">
        <f>$T$8/SUM($E$56-$E$8-$E$54-$E$35)*E16</f>
        <v>329500.58320932963</v>
      </c>
      <c r="V16" s="48" t="s">
        <v>36</v>
      </c>
      <c r="W16" s="54">
        <f>$V$12/SUM($F$56-$F$8-$F$12+$H$56+$I$56*0.5)*SUM(F16)</f>
        <v>9604.6019397164</v>
      </c>
      <c r="X16" s="55">
        <f>S16+U16+W16</f>
        <v>4328830.4453580072</v>
      </c>
      <c r="Y16" s="48" t="s">
        <v>36</v>
      </c>
      <c r="Z16" s="48" t="s">
        <v>36</v>
      </c>
      <c r="AA16" s="48" t="s">
        <v>36</v>
      </c>
      <c r="AB16" s="48" t="s">
        <v>36</v>
      </c>
      <c r="AC16" s="48" t="s">
        <v>36</v>
      </c>
      <c r="AD16" s="48" t="s">
        <v>36</v>
      </c>
      <c r="AE16" s="48" t="s">
        <v>36</v>
      </c>
      <c r="AF16" s="48" t="s">
        <v>36</v>
      </c>
    </row>
    <row r="17" spans="1:32" s="32" customFormat="1" ht="24.75" customHeight="1" x14ac:dyDescent="0.2">
      <c r="A17" s="33"/>
      <c r="B17" s="34" t="s">
        <v>47</v>
      </c>
      <c r="C17" s="34"/>
      <c r="D17" s="35"/>
      <c r="E17" s="36"/>
      <c r="F17" s="37"/>
      <c r="G17" s="36"/>
      <c r="H17" s="37"/>
      <c r="I17" s="37"/>
      <c r="J17" s="37"/>
      <c r="K17" s="36"/>
      <c r="L17" s="36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</row>
    <row r="18" spans="1:32" s="32" customFormat="1" x14ac:dyDescent="0.2">
      <c r="A18" s="39" t="str">
        <f t="shared" si="2"/>
        <v>Rektorát</v>
      </c>
      <c r="B18" s="40" t="s">
        <v>48</v>
      </c>
      <c r="C18" s="40"/>
      <c r="D18" s="41" t="s">
        <v>49</v>
      </c>
      <c r="E18" s="42">
        <v>66.03</v>
      </c>
      <c r="F18" s="43">
        <v>2</v>
      </c>
      <c r="G18" s="44">
        <v>1.016</v>
      </c>
      <c r="H18" s="45" t="s">
        <v>36</v>
      </c>
      <c r="I18" s="45" t="s">
        <v>36</v>
      </c>
      <c r="J18" s="45" t="s">
        <v>36</v>
      </c>
      <c r="K18" s="46" t="s">
        <v>36</v>
      </c>
      <c r="L18" s="46" t="s">
        <v>36</v>
      </c>
      <c r="M18" s="47">
        <v>783900</v>
      </c>
      <c r="N18" s="47">
        <v>84000</v>
      </c>
      <c r="O18" s="47"/>
      <c r="P18" s="48">
        <f t="shared" ref="P18:P30" si="15">SUM(M18:N18)</f>
        <v>867900</v>
      </c>
      <c r="Q18" s="48">
        <f t="shared" ref="Q18:Q29" si="16">SUM(M18:N18)-O18</f>
        <v>867900</v>
      </c>
      <c r="R18" s="47"/>
      <c r="S18" s="56">
        <f t="shared" ref="S18:S30" si="17">P18+R18</f>
        <v>867900</v>
      </c>
      <c r="T18" s="48" t="s">
        <v>36</v>
      </c>
      <c r="U18" s="48" t="s">
        <v>36</v>
      </c>
      <c r="V18" s="48" t="s">
        <v>36</v>
      </c>
      <c r="W18" s="48" t="s">
        <v>36</v>
      </c>
      <c r="X18" s="48" t="s">
        <v>36</v>
      </c>
      <c r="Y18" s="48" t="s">
        <v>36</v>
      </c>
      <c r="Z18" s="48" t="s">
        <v>36</v>
      </c>
      <c r="AA18" s="48" t="s">
        <v>36</v>
      </c>
      <c r="AB18" s="48" t="s">
        <v>36</v>
      </c>
      <c r="AC18" s="48" t="s">
        <v>36</v>
      </c>
      <c r="AD18" s="48" t="s">
        <v>36</v>
      </c>
      <c r="AE18" s="48" t="s">
        <v>36</v>
      </c>
      <c r="AF18" s="48" t="s">
        <v>36</v>
      </c>
    </row>
    <row r="19" spans="1:32" s="32" customFormat="1" x14ac:dyDescent="0.2">
      <c r="A19" s="39" t="str">
        <f t="shared" si="2"/>
        <v>Rektorát</v>
      </c>
      <c r="B19" s="40" t="s">
        <v>50</v>
      </c>
      <c r="C19" s="40"/>
      <c r="D19" s="41" t="s">
        <v>51</v>
      </c>
      <c r="E19" s="42">
        <v>84.77</v>
      </c>
      <c r="F19" s="43">
        <v>3</v>
      </c>
      <c r="G19" s="44">
        <v>2.4</v>
      </c>
      <c r="H19" s="45" t="s">
        <v>36</v>
      </c>
      <c r="I19" s="45" t="s">
        <v>36</v>
      </c>
      <c r="J19" s="45" t="s">
        <v>36</v>
      </c>
      <c r="K19" s="46" t="s">
        <v>36</v>
      </c>
      <c r="L19" s="46" t="s">
        <v>36</v>
      </c>
      <c r="M19" s="47">
        <v>1344515.8</v>
      </c>
      <c r="N19" s="47">
        <v>342700</v>
      </c>
      <c r="O19" s="47"/>
      <c r="P19" s="48">
        <f t="shared" si="15"/>
        <v>1687215.8</v>
      </c>
      <c r="Q19" s="48">
        <f t="shared" si="16"/>
        <v>1687215.8</v>
      </c>
      <c r="R19" s="47"/>
      <c r="S19" s="56">
        <f t="shared" si="17"/>
        <v>1687215.8</v>
      </c>
      <c r="T19" s="48" t="s">
        <v>36</v>
      </c>
      <c r="U19" s="48" t="s">
        <v>36</v>
      </c>
      <c r="V19" s="48" t="s">
        <v>36</v>
      </c>
      <c r="W19" s="48" t="s">
        <v>36</v>
      </c>
      <c r="X19" s="48" t="s">
        <v>36</v>
      </c>
      <c r="Y19" s="48" t="s">
        <v>36</v>
      </c>
      <c r="Z19" s="48" t="s">
        <v>36</v>
      </c>
      <c r="AA19" s="48" t="s">
        <v>36</v>
      </c>
      <c r="AB19" s="48" t="s">
        <v>36</v>
      </c>
      <c r="AC19" s="48" t="s">
        <v>36</v>
      </c>
      <c r="AD19" s="48" t="s">
        <v>36</v>
      </c>
      <c r="AE19" s="48" t="s">
        <v>36</v>
      </c>
      <c r="AF19" s="48" t="s">
        <v>36</v>
      </c>
    </row>
    <row r="20" spans="1:32" s="32" customFormat="1" x14ac:dyDescent="0.2">
      <c r="A20" s="39" t="str">
        <f t="shared" si="2"/>
        <v>Rektorát</v>
      </c>
      <c r="B20" s="40" t="s">
        <v>52</v>
      </c>
      <c r="C20" s="40"/>
      <c r="D20" s="41" t="s">
        <v>53</v>
      </c>
      <c r="E20" s="42">
        <v>214.6</v>
      </c>
      <c r="F20" s="43">
        <v>6</v>
      </c>
      <c r="G20" s="44">
        <v>6.718</v>
      </c>
      <c r="H20" s="45" t="s">
        <v>36</v>
      </c>
      <c r="I20" s="45" t="s">
        <v>36</v>
      </c>
      <c r="J20" s="45" t="s">
        <v>36</v>
      </c>
      <c r="K20" s="46" t="s">
        <v>36</v>
      </c>
      <c r="L20" s="46" t="s">
        <v>36</v>
      </c>
      <c r="M20" s="47">
        <v>0</v>
      </c>
      <c r="N20" s="47">
        <v>1958.9706176917655</v>
      </c>
      <c r="O20" s="47">
        <v>1958.9706176917655</v>
      </c>
      <c r="P20" s="48">
        <f t="shared" si="15"/>
        <v>1958.9706176917655</v>
      </c>
      <c r="Q20" s="48">
        <f t="shared" si="16"/>
        <v>0</v>
      </c>
      <c r="R20" s="47"/>
      <c r="S20" s="56">
        <f t="shared" si="17"/>
        <v>1958.9706176917655</v>
      </c>
      <c r="T20" s="48" t="s">
        <v>36</v>
      </c>
      <c r="U20" s="48" t="s">
        <v>36</v>
      </c>
      <c r="V20" s="48" t="s">
        <v>36</v>
      </c>
      <c r="W20" s="48" t="s">
        <v>36</v>
      </c>
      <c r="X20" s="48" t="s">
        <v>36</v>
      </c>
      <c r="Y20" s="48" t="s">
        <v>36</v>
      </c>
      <c r="Z20" s="48" t="s">
        <v>36</v>
      </c>
      <c r="AA20" s="48" t="s">
        <v>36</v>
      </c>
      <c r="AB20" s="48" t="s">
        <v>36</v>
      </c>
      <c r="AC20" s="48" t="s">
        <v>36</v>
      </c>
      <c r="AD20" s="48" t="s">
        <v>36</v>
      </c>
      <c r="AE20" s="48" t="s">
        <v>36</v>
      </c>
      <c r="AF20" s="48" t="s">
        <v>36</v>
      </c>
    </row>
    <row r="21" spans="1:32" s="32" customFormat="1" x14ac:dyDescent="0.2">
      <c r="A21" s="39" t="str">
        <f t="shared" si="2"/>
        <v>Rektorát</v>
      </c>
      <c r="B21" s="40" t="s">
        <v>54</v>
      </c>
      <c r="C21" s="40"/>
      <c r="D21" s="41" t="s">
        <v>55</v>
      </c>
      <c r="E21" s="42">
        <v>120.6</v>
      </c>
      <c r="F21" s="43">
        <v>3</v>
      </c>
      <c r="G21" s="44">
        <v>3</v>
      </c>
      <c r="H21" s="45" t="s">
        <v>36</v>
      </c>
      <c r="I21" s="45" t="s">
        <v>36</v>
      </c>
      <c r="J21" s="45" t="s">
        <v>36</v>
      </c>
      <c r="K21" s="46" t="s">
        <v>36</v>
      </c>
      <c r="L21" s="46" t="s">
        <v>36</v>
      </c>
      <c r="M21" s="47">
        <v>1797569.8</v>
      </c>
      <c r="N21" s="47">
        <v>3103000</v>
      </c>
      <c r="O21" s="47"/>
      <c r="P21" s="48">
        <f t="shared" si="15"/>
        <v>4900569.8</v>
      </c>
      <c r="Q21" s="48">
        <f t="shared" si="16"/>
        <v>4900569.8</v>
      </c>
      <c r="R21" s="47"/>
      <c r="S21" s="56">
        <f t="shared" si="17"/>
        <v>4900569.8</v>
      </c>
      <c r="T21" s="48" t="s">
        <v>36</v>
      </c>
      <c r="U21" s="48" t="s">
        <v>36</v>
      </c>
      <c r="V21" s="48" t="s">
        <v>36</v>
      </c>
      <c r="W21" s="48" t="s">
        <v>36</v>
      </c>
      <c r="X21" s="48" t="s">
        <v>36</v>
      </c>
      <c r="Y21" s="48" t="s">
        <v>36</v>
      </c>
      <c r="Z21" s="48" t="s">
        <v>36</v>
      </c>
      <c r="AA21" s="48" t="s">
        <v>36</v>
      </c>
      <c r="AB21" s="48" t="s">
        <v>36</v>
      </c>
      <c r="AC21" s="48" t="s">
        <v>36</v>
      </c>
      <c r="AD21" s="48" t="s">
        <v>36</v>
      </c>
      <c r="AE21" s="48" t="s">
        <v>36</v>
      </c>
      <c r="AF21" s="48" t="s">
        <v>36</v>
      </c>
    </row>
    <row r="22" spans="1:32" s="32" customFormat="1" x14ac:dyDescent="0.2">
      <c r="A22" s="39" t="str">
        <f t="shared" si="2"/>
        <v>Rektorát</v>
      </c>
      <c r="B22" s="40" t="s">
        <v>56</v>
      </c>
      <c r="C22" s="40"/>
      <c r="D22" s="41" t="s">
        <v>57</v>
      </c>
      <c r="E22" s="42">
        <v>664.52</v>
      </c>
      <c r="F22" s="43">
        <v>26</v>
      </c>
      <c r="G22" s="44">
        <v>26.010999999999999</v>
      </c>
      <c r="H22" s="45" t="s">
        <v>36</v>
      </c>
      <c r="I22" s="45" t="s">
        <v>36</v>
      </c>
      <c r="J22" s="45" t="s">
        <v>36</v>
      </c>
      <c r="K22" s="46" t="s">
        <v>36</v>
      </c>
      <c r="L22" s="46" t="s">
        <v>36</v>
      </c>
      <c r="M22" s="47">
        <v>8020787.7549999999</v>
      </c>
      <c r="N22" s="47">
        <v>1192500</v>
      </c>
      <c r="O22" s="47"/>
      <c r="P22" s="48">
        <f t="shared" si="15"/>
        <v>9213287.754999999</v>
      </c>
      <c r="Q22" s="48">
        <f t="shared" si="16"/>
        <v>9213287.754999999</v>
      </c>
      <c r="R22" s="47"/>
      <c r="S22" s="56">
        <f t="shared" si="17"/>
        <v>9213287.754999999</v>
      </c>
      <c r="T22" s="48" t="s">
        <v>36</v>
      </c>
      <c r="U22" s="48" t="s">
        <v>36</v>
      </c>
      <c r="V22" s="48" t="s">
        <v>36</v>
      </c>
      <c r="W22" s="48" t="s">
        <v>36</v>
      </c>
      <c r="X22" s="48" t="s">
        <v>36</v>
      </c>
      <c r="Y22" s="48" t="s">
        <v>36</v>
      </c>
      <c r="Z22" s="48" t="s">
        <v>36</v>
      </c>
      <c r="AA22" s="48" t="s">
        <v>36</v>
      </c>
      <c r="AB22" s="48" t="s">
        <v>36</v>
      </c>
      <c r="AC22" s="48" t="s">
        <v>36</v>
      </c>
      <c r="AD22" s="48" t="s">
        <v>36</v>
      </c>
      <c r="AE22" s="48" t="s">
        <v>36</v>
      </c>
      <c r="AF22" s="48" t="s">
        <v>36</v>
      </c>
    </row>
    <row r="23" spans="1:32" s="32" customFormat="1" x14ac:dyDescent="0.2">
      <c r="A23" s="39" t="str">
        <f t="shared" si="2"/>
        <v>Rektorát</v>
      </c>
      <c r="B23" s="40" t="s">
        <v>58</v>
      </c>
      <c r="C23" s="40"/>
      <c r="D23" s="41" t="s">
        <v>59</v>
      </c>
      <c r="E23" s="42">
        <v>70.58</v>
      </c>
      <c r="F23" s="43">
        <v>3</v>
      </c>
      <c r="G23" s="44">
        <v>2.5670000000000002</v>
      </c>
      <c r="H23" s="45" t="s">
        <v>36</v>
      </c>
      <c r="I23" s="45" t="s">
        <v>36</v>
      </c>
      <c r="J23" s="45" t="s">
        <v>36</v>
      </c>
      <c r="K23" s="46" t="s">
        <v>36</v>
      </c>
      <c r="L23" s="46" t="s">
        <v>36</v>
      </c>
      <c r="M23" s="47">
        <v>1185417.6000000001</v>
      </c>
      <c r="N23" s="47">
        <v>105500</v>
      </c>
      <c r="O23" s="47"/>
      <c r="P23" s="48">
        <f t="shared" si="15"/>
        <v>1290917.6000000001</v>
      </c>
      <c r="Q23" s="48">
        <f t="shared" si="16"/>
        <v>1290917.6000000001</v>
      </c>
      <c r="R23" s="47"/>
      <c r="S23" s="56">
        <f t="shared" si="17"/>
        <v>1290917.6000000001</v>
      </c>
      <c r="T23" s="48" t="s">
        <v>36</v>
      </c>
      <c r="U23" s="48" t="s">
        <v>36</v>
      </c>
      <c r="V23" s="48" t="s">
        <v>36</v>
      </c>
      <c r="W23" s="48" t="s">
        <v>36</v>
      </c>
      <c r="X23" s="48" t="s">
        <v>36</v>
      </c>
      <c r="Y23" s="48" t="s">
        <v>36</v>
      </c>
      <c r="Z23" s="48" t="s">
        <v>36</v>
      </c>
      <c r="AA23" s="48" t="s">
        <v>36</v>
      </c>
      <c r="AB23" s="48" t="s">
        <v>36</v>
      </c>
      <c r="AC23" s="48" t="s">
        <v>36</v>
      </c>
      <c r="AD23" s="48" t="s">
        <v>36</v>
      </c>
      <c r="AE23" s="48" t="s">
        <v>36</v>
      </c>
      <c r="AF23" s="48" t="s">
        <v>36</v>
      </c>
    </row>
    <row r="24" spans="1:32" s="32" customFormat="1" x14ac:dyDescent="0.2">
      <c r="A24" s="39" t="str">
        <f t="shared" si="2"/>
        <v>Rektorát</v>
      </c>
      <c r="B24" s="40" t="s">
        <v>60</v>
      </c>
      <c r="C24" s="40"/>
      <c r="D24" s="41" t="s">
        <v>61</v>
      </c>
      <c r="E24" s="42">
        <v>68.95</v>
      </c>
      <c r="F24" s="43">
        <v>3</v>
      </c>
      <c r="G24" s="44">
        <v>3.8330000000000002</v>
      </c>
      <c r="H24" s="45" t="s">
        <v>36</v>
      </c>
      <c r="I24" s="45" t="s">
        <v>36</v>
      </c>
      <c r="J24" s="45" t="s">
        <v>36</v>
      </c>
      <c r="K24" s="46" t="s">
        <v>36</v>
      </c>
      <c r="L24" s="46" t="s">
        <v>36</v>
      </c>
      <c r="M24" s="47">
        <v>1607772.2</v>
      </c>
      <c r="N24" s="47">
        <v>1016000</v>
      </c>
      <c r="O24" s="47"/>
      <c r="P24" s="48">
        <f t="shared" ref="P24" si="18">SUM(M24:N24)</f>
        <v>2623772.2000000002</v>
      </c>
      <c r="Q24" s="48">
        <f t="shared" si="16"/>
        <v>2623772.2000000002</v>
      </c>
      <c r="R24" s="47"/>
      <c r="S24" s="56">
        <f t="shared" si="17"/>
        <v>2623772.2000000002</v>
      </c>
      <c r="T24" s="48" t="s">
        <v>36</v>
      </c>
      <c r="U24" s="48" t="s">
        <v>36</v>
      </c>
      <c r="V24" s="48" t="s">
        <v>36</v>
      </c>
      <c r="W24" s="48" t="s">
        <v>36</v>
      </c>
      <c r="X24" s="48" t="s">
        <v>36</v>
      </c>
      <c r="Y24" s="48" t="s">
        <v>36</v>
      </c>
      <c r="Z24" s="48" t="s">
        <v>36</v>
      </c>
      <c r="AA24" s="48" t="s">
        <v>36</v>
      </c>
      <c r="AB24" s="48" t="s">
        <v>36</v>
      </c>
      <c r="AC24" s="48" t="s">
        <v>36</v>
      </c>
      <c r="AD24" s="48" t="s">
        <v>36</v>
      </c>
      <c r="AE24" s="48" t="s">
        <v>36</v>
      </c>
      <c r="AF24" s="48" t="s">
        <v>36</v>
      </c>
    </row>
    <row r="25" spans="1:32" s="32" customFormat="1" ht="22.5" x14ac:dyDescent="0.2">
      <c r="A25" s="39" t="str">
        <f t="shared" si="2"/>
        <v>Rektorát</v>
      </c>
      <c r="B25" s="40" t="s">
        <v>62</v>
      </c>
      <c r="C25" s="40" t="s">
        <v>63</v>
      </c>
      <c r="D25" s="41" t="s">
        <v>64</v>
      </c>
      <c r="E25" s="42">
        <v>304.5</v>
      </c>
      <c r="F25" s="43">
        <v>5</v>
      </c>
      <c r="G25" s="44">
        <v>5.25</v>
      </c>
      <c r="H25" s="45" t="s">
        <v>36</v>
      </c>
      <c r="I25" s="45" t="s">
        <v>36</v>
      </c>
      <c r="J25" s="45" t="s">
        <v>36</v>
      </c>
      <c r="K25" s="46" t="s">
        <v>36</v>
      </c>
      <c r="L25" s="46" t="s">
        <v>36</v>
      </c>
      <c r="M25" s="47">
        <v>2799139.4</v>
      </c>
      <c r="N25" s="47">
        <v>93500</v>
      </c>
      <c r="O25" s="47"/>
      <c r="P25" s="48">
        <f>SUM(M25:N25)</f>
        <v>2892639.4</v>
      </c>
      <c r="Q25" s="48">
        <f>SUM(M25:N25)-O25</f>
        <v>2892639.4</v>
      </c>
      <c r="R25" s="47"/>
      <c r="S25" s="56">
        <f>P25+R25</f>
        <v>2892639.4</v>
      </c>
      <c r="T25" s="48" t="s">
        <v>36</v>
      </c>
      <c r="U25" s="48" t="s">
        <v>36</v>
      </c>
      <c r="V25" s="48" t="s">
        <v>36</v>
      </c>
      <c r="W25" s="48" t="s">
        <v>36</v>
      </c>
      <c r="X25" s="48" t="s">
        <v>36</v>
      </c>
      <c r="Y25" s="48" t="s">
        <v>36</v>
      </c>
      <c r="Z25" s="48" t="s">
        <v>36</v>
      </c>
      <c r="AA25" s="48" t="s">
        <v>36</v>
      </c>
      <c r="AB25" s="48" t="s">
        <v>36</v>
      </c>
      <c r="AC25" s="48" t="s">
        <v>36</v>
      </c>
      <c r="AD25" s="48" t="s">
        <v>36</v>
      </c>
      <c r="AE25" s="48" t="s">
        <v>36</v>
      </c>
      <c r="AF25" s="48" t="s">
        <v>36</v>
      </c>
    </row>
    <row r="26" spans="1:32" s="32" customFormat="1" x14ac:dyDescent="0.2">
      <c r="A26" s="39" t="str">
        <f t="shared" si="2"/>
        <v>Rektorát</v>
      </c>
      <c r="B26" s="40" t="s">
        <v>65</v>
      </c>
      <c r="C26" s="40"/>
      <c r="D26" s="41" t="s">
        <v>66</v>
      </c>
      <c r="E26" s="42">
        <v>98.36</v>
      </c>
      <c r="F26" s="43">
        <v>3</v>
      </c>
      <c r="G26" s="44">
        <v>3.4279999999999999</v>
      </c>
      <c r="H26" s="45" t="s">
        <v>36</v>
      </c>
      <c r="I26" s="45" t="s">
        <v>36</v>
      </c>
      <c r="J26" s="45" t="s">
        <v>36</v>
      </c>
      <c r="K26" s="46" t="s">
        <v>36</v>
      </c>
      <c r="L26" s="46" t="s">
        <v>36</v>
      </c>
      <c r="M26" s="47">
        <v>869516.62000000011</v>
      </c>
      <c r="N26" s="47">
        <v>250000</v>
      </c>
      <c r="O26" s="47"/>
      <c r="P26" s="48">
        <f>SUM(M26:N26)</f>
        <v>1119516.6200000001</v>
      </c>
      <c r="Q26" s="48">
        <f>SUM(M26:N26)-O26</f>
        <v>1119516.6200000001</v>
      </c>
      <c r="R26" s="47"/>
      <c r="S26" s="56">
        <f>P26+R26</f>
        <v>1119516.6200000001</v>
      </c>
      <c r="T26" s="48" t="s">
        <v>36</v>
      </c>
      <c r="U26" s="48" t="s">
        <v>36</v>
      </c>
      <c r="V26" s="48" t="s">
        <v>36</v>
      </c>
      <c r="W26" s="48" t="s">
        <v>36</v>
      </c>
      <c r="X26" s="48" t="s">
        <v>36</v>
      </c>
      <c r="Y26" s="48" t="s">
        <v>36</v>
      </c>
      <c r="Z26" s="48" t="s">
        <v>36</v>
      </c>
      <c r="AA26" s="48" t="s">
        <v>36</v>
      </c>
      <c r="AB26" s="48" t="s">
        <v>36</v>
      </c>
      <c r="AC26" s="48" t="s">
        <v>36</v>
      </c>
      <c r="AD26" s="48" t="s">
        <v>36</v>
      </c>
      <c r="AE26" s="48" t="s">
        <v>36</v>
      </c>
      <c r="AF26" s="48" t="s">
        <v>36</v>
      </c>
    </row>
    <row r="27" spans="1:32" s="32" customFormat="1" x14ac:dyDescent="0.2">
      <c r="A27" s="39" t="str">
        <f t="shared" si="2"/>
        <v>Rektorát</v>
      </c>
      <c r="B27" s="40" t="s">
        <v>67</v>
      </c>
      <c r="C27" s="40"/>
      <c r="D27" s="41" t="s">
        <v>68</v>
      </c>
      <c r="E27" s="42">
        <v>165.82</v>
      </c>
      <c r="F27" s="43">
        <v>6</v>
      </c>
      <c r="G27" s="44">
        <v>6</v>
      </c>
      <c r="H27" s="45" t="s">
        <v>36</v>
      </c>
      <c r="I27" s="45" t="s">
        <v>36</v>
      </c>
      <c r="J27" s="45" t="s">
        <v>36</v>
      </c>
      <c r="K27" s="46" t="s">
        <v>36</v>
      </c>
      <c r="L27" s="46" t="s">
        <v>36</v>
      </c>
      <c r="M27" s="47">
        <v>2037845.2</v>
      </c>
      <c r="N27" s="47">
        <v>100000</v>
      </c>
      <c r="O27" s="47"/>
      <c r="P27" s="48">
        <f t="shared" si="15"/>
        <v>2137845.2000000002</v>
      </c>
      <c r="Q27" s="48">
        <f t="shared" si="16"/>
        <v>2137845.2000000002</v>
      </c>
      <c r="R27" s="47"/>
      <c r="S27" s="56">
        <f t="shared" si="17"/>
        <v>2137845.2000000002</v>
      </c>
      <c r="T27" s="48" t="s">
        <v>36</v>
      </c>
      <c r="U27" s="48" t="s">
        <v>36</v>
      </c>
      <c r="V27" s="48" t="s">
        <v>36</v>
      </c>
      <c r="W27" s="48" t="s">
        <v>36</v>
      </c>
      <c r="X27" s="48" t="s">
        <v>36</v>
      </c>
      <c r="Y27" s="48" t="s">
        <v>36</v>
      </c>
      <c r="Z27" s="48" t="s">
        <v>36</v>
      </c>
      <c r="AA27" s="48" t="s">
        <v>36</v>
      </c>
      <c r="AB27" s="48" t="s">
        <v>36</v>
      </c>
      <c r="AC27" s="48" t="s">
        <v>36</v>
      </c>
      <c r="AD27" s="48" t="s">
        <v>36</v>
      </c>
      <c r="AE27" s="48" t="s">
        <v>36</v>
      </c>
      <c r="AF27" s="48" t="s">
        <v>36</v>
      </c>
    </row>
    <row r="28" spans="1:32" s="32" customFormat="1" ht="33.75" x14ac:dyDescent="0.2">
      <c r="A28" s="39" t="str">
        <f t="shared" si="2"/>
        <v>Rektorát</v>
      </c>
      <c r="B28" s="40" t="s">
        <v>69</v>
      </c>
      <c r="C28" s="33" t="s">
        <v>70</v>
      </c>
      <c r="D28" s="41" t="s">
        <v>71</v>
      </c>
      <c r="E28" s="42" t="s">
        <v>72</v>
      </c>
      <c r="F28" s="52" t="s">
        <v>36</v>
      </c>
      <c r="G28" s="51" t="s">
        <v>36</v>
      </c>
      <c r="H28" s="45" t="s">
        <v>36</v>
      </c>
      <c r="I28" s="45" t="s">
        <v>36</v>
      </c>
      <c r="J28" s="45" t="s">
        <v>36</v>
      </c>
      <c r="K28" s="46" t="s">
        <v>36</v>
      </c>
      <c r="L28" s="46" t="s">
        <v>36</v>
      </c>
      <c r="M28" s="47">
        <v>765949.28</v>
      </c>
      <c r="N28" s="47">
        <v>1364.2222059725702</v>
      </c>
      <c r="O28" s="47">
        <v>1364.2222059725702</v>
      </c>
      <c r="P28" s="48">
        <f t="shared" si="15"/>
        <v>767313.50220597256</v>
      </c>
      <c r="Q28" s="48">
        <f t="shared" si="16"/>
        <v>765949.28</v>
      </c>
      <c r="R28" s="47"/>
      <c r="S28" s="56">
        <f t="shared" si="17"/>
        <v>767313.50220597256</v>
      </c>
      <c r="T28" s="48" t="s">
        <v>36</v>
      </c>
      <c r="U28" s="48" t="s">
        <v>36</v>
      </c>
      <c r="V28" s="48" t="s">
        <v>36</v>
      </c>
      <c r="W28" s="48" t="s">
        <v>36</v>
      </c>
      <c r="X28" s="48" t="s">
        <v>36</v>
      </c>
      <c r="Y28" s="48" t="s">
        <v>36</v>
      </c>
      <c r="Z28" s="48" t="s">
        <v>36</v>
      </c>
      <c r="AA28" s="48" t="s">
        <v>36</v>
      </c>
      <c r="AB28" s="48" t="s">
        <v>36</v>
      </c>
      <c r="AC28" s="48" t="s">
        <v>36</v>
      </c>
      <c r="AD28" s="48" t="s">
        <v>36</v>
      </c>
      <c r="AE28" s="48" t="s">
        <v>36</v>
      </c>
      <c r="AF28" s="48" t="s">
        <v>36</v>
      </c>
    </row>
    <row r="29" spans="1:32" s="32" customFormat="1" ht="22.5" x14ac:dyDescent="0.2">
      <c r="A29" s="39" t="str">
        <f t="shared" si="2"/>
        <v>Rektorát</v>
      </c>
      <c r="B29" s="40" t="s">
        <v>73</v>
      </c>
      <c r="C29" s="33" t="s">
        <v>74</v>
      </c>
      <c r="D29" s="41" t="s">
        <v>75</v>
      </c>
      <c r="E29" s="44" t="s">
        <v>72</v>
      </c>
      <c r="F29" s="52" t="s">
        <v>36</v>
      </c>
      <c r="G29" s="51" t="s">
        <v>36</v>
      </c>
      <c r="H29" s="45" t="s">
        <v>36</v>
      </c>
      <c r="I29" s="45" t="s">
        <v>36</v>
      </c>
      <c r="J29" s="45" t="s">
        <v>36</v>
      </c>
      <c r="K29" s="46" t="s">
        <v>36</v>
      </c>
      <c r="L29" s="46" t="s">
        <v>36</v>
      </c>
      <c r="M29" s="47">
        <v>0</v>
      </c>
      <c r="N29" s="47">
        <v>9280.5879568825876</v>
      </c>
      <c r="O29" s="47">
        <v>9280.5879568825876</v>
      </c>
      <c r="P29" s="48">
        <f t="shared" si="15"/>
        <v>9280.5879568825876</v>
      </c>
      <c r="Q29" s="48">
        <f t="shared" si="16"/>
        <v>0</v>
      </c>
      <c r="R29" s="47"/>
      <c r="S29" s="56">
        <f t="shared" si="17"/>
        <v>9280.5879568825876</v>
      </c>
      <c r="T29" s="48" t="s">
        <v>36</v>
      </c>
      <c r="U29" s="48" t="s">
        <v>36</v>
      </c>
      <c r="V29" s="48" t="s">
        <v>36</v>
      </c>
      <c r="W29" s="48" t="s">
        <v>36</v>
      </c>
      <c r="X29" s="48" t="s">
        <v>36</v>
      </c>
      <c r="Y29" s="48" t="s">
        <v>36</v>
      </c>
      <c r="Z29" s="48" t="s">
        <v>36</v>
      </c>
      <c r="AA29" s="48" t="s">
        <v>36</v>
      </c>
      <c r="AB29" s="48" t="s">
        <v>36</v>
      </c>
      <c r="AC29" s="48" t="s">
        <v>36</v>
      </c>
      <c r="AD29" s="48" t="s">
        <v>36</v>
      </c>
      <c r="AE29" s="48" t="s">
        <v>36</v>
      </c>
      <c r="AF29" s="48" t="s">
        <v>36</v>
      </c>
    </row>
    <row r="30" spans="1:32" s="32" customFormat="1" x14ac:dyDescent="0.2">
      <c r="A30" s="39"/>
      <c r="B30" s="40"/>
      <c r="C30" s="40"/>
      <c r="D30" s="41"/>
      <c r="F30" s="52"/>
      <c r="G30" s="51"/>
      <c r="H30" s="45"/>
      <c r="I30" s="45"/>
      <c r="J30" s="45"/>
      <c r="K30" s="46"/>
      <c r="L30" s="46"/>
      <c r="M30" s="47"/>
      <c r="N30" s="47"/>
      <c r="O30" s="47"/>
      <c r="P30" s="48">
        <f t="shared" si="15"/>
        <v>0</v>
      </c>
      <c r="Q30" s="48"/>
      <c r="R30" s="47"/>
      <c r="S30" s="56">
        <f t="shared" si="17"/>
        <v>0</v>
      </c>
      <c r="T30" s="48" t="s">
        <v>36</v>
      </c>
      <c r="U30" s="48" t="s">
        <v>36</v>
      </c>
      <c r="V30" s="48" t="s">
        <v>36</v>
      </c>
      <c r="W30" s="48" t="s">
        <v>36</v>
      </c>
      <c r="X30" s="48" t="s">
        <v>36</v>
      </c>
      <c r="Y30" s="48" t="s">
        <v>36</v>
      </c>
      <c r="Z30" s="48" t="s">
        <v>36</v>
      </c>
      <c r="AA30" s="48" t="s">
        <v>36</v>
      </c>
      <c r="AB30" s="48" t="s">
        <v>36</v>
      </c>
      <c r="AC30" s="48" t="s">
        <v>36</v>
      </c>
      <c r="AD30" s="48" t="s">
        <v>36</v>
      </c>
      <c r="AE30" s="48" t="s">
        <v>36</v>
      </c>
      <c r="AF30" s="48" t="s">
        <v>36</v>
      </c>
    </row>
    <row r="31" spans="1:32" s="32" customFormat="1" x14ac:dyDescent="0.2">
      <c r="A31" s="39" t="str">
        <f t="shared" si="2"/>
        <v>Rektorát</v>
      </c>
      <c r="B31" s="39" t="s">
        <v>76</v>
      </c>
      <c r="C31" s="39"/>
      <c r="D31" s="53"/>
      <c r="E31" s="46">
        <f>SUM(E18:E30)</f>
        <v>1858.7299999999998</v>
      </c>
      <c r="F31" s="46">
        <f>SUM(F18:F29)</f>
        <v>60</v>
      </c>
      <c r="G31" s="46">
        <f>SUM(G18:G29)</f>
        <v>60.222999999999992</v>
      </c>
      <c r="H31" s="45"/>
      <c r="I31" s="45"/>
      <c r="J31" s="45"/>
      <c r="K31" s="46"/>
      <c r="L31" s="46"/>
      <c r="M31" s="48">
        <f>SUM(M18:M30)</f>
        <v>21212413.655000001</v>
      </c>
      <c r="N31" s="48">
        <f>SUM(N18:N29)</f>
        <v>6299803.7807805473</v>
      </c>
      <c r="O31" s="48">
        <f>SUM(O18:O30)</f>
        <v>12603.780780546924</v>
      </c>
      <c r="P31" s="48">
        <f>SUM(P18:P29)</f>
        <v>27512217.435780544</v>
      </c>
      <c r="Q31" s="48">
        <f>SUM(Q18:Q29)</f>
        <v>27499613.654999997</v>
      </c>
      <c r="R31" s="48">
        <f>SUM(R18:R29)</f>
        <v>0</v>
      </c>
      <c r="S31" s="56">
        <f>SUM(S18:S29)</f>
        <v>27512217.435780544</v>
      </c>
      <c r="T31" s="48" t="s">
        <v>36</v>
      </c>
      <c r="U31" s="50">
        <f>$T$8/SUM($E$56-$E$8-$E$54-$E$35)*E31</f>
        <v>4385625.6285619559</v>
      </c>
      <c r="V31" s="48" t="s">
        <v>36</v>
      </c>
      <c r="W31" s="54">
        <f>$V$12/SUM($F$56-$F$8-$F$12+$H$56+$I$56*0.5)*SUM(F31)</f>
        <v>82325.159483283438</v>
      </c>
      <c r="X31" s="48" t="s">
        <v>36</v>
      </c>
      <c r="Y31" s="55">
        <f>$X$16/SUM($G$56-$G$8-$G$12-$G$16)*G31</f>
        <v>201516.27458574783</v>
      </c>
      <c r="Z31" s="56">
        <f>S31+U31+W31+Y31</f>
        <v>32181684.498411529</v>
      </c>
      <c r="AA31" s="48" t="s">
        <v>36</v>
      </c>
      <c r="AB31" s="48" t="s">
        <v>36</v>
      </c>
      <c r="AC31" s="48" t="s">
        <v>36</v>
      </c>
      <c r="AD31" s="48" t="s">
        <v>36</v>
      </c>
      <c r="AE31" s="48" t="s">
        <v>36</v>
      </c>
      <c r="AF31" s="48" t="s">
        <v>36</v>
      </c>
    </row>
    <row r="32" spans="1:32" s="32" customFormat="1" x14ac:dyDescent="0.2">
      <c r="A32" s="33"/>
      <c r="B32" s="34" t="s">
        <v>77</v>
      </c>
      <c r="C32" s="34"/>
      <c r="D32" s="35"/>
      <c r="E32" s="36"/>
      <c r="F32" s="37"/>
      <c r="G32" s="36"/>
      <c r="H32" s="37"/>
      <c r="I32" s="37"/>
      <c r="J32" s="37"/>
      <c r="K32" s="36"/>
      <c r="L32" s="36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</row>
    <row r="33" spans="1:32" s="32" customFormat="1" x14ac:dyDescent="0.2">
      <c r="A33" s="39" t="s">
        <v>32</v>
      </c>
      <c r="B33" s="40" t="s">
        <v>78</v>
      </c>
      <c r="C33" s="40"/>
      <c r="D33" s="41" t="s">
        <v>79</v>
      </c>
      <c r="E33" s="42">
        <v>5436.09</v>
      </c>
      <c r="F33" s="43">
        <v>35</v>
      </c>
      <c r="G33" s="44">
        <v>33.637999999999998</v>
      </c>
      <c r="H33" s="45" t="s">
        <v>36</v>
      </c>
      <c r="I33" s="45" t="s">
        <v>36</v>
      </c>
      <c r="J33" s="43"/>
      <c r="K33" s="44"/>
      <c r="L33" s="44">
        <v>0</v>
      </c>
      <c r="M33" s="47">
        <v>9725000.1519999988</v>
      </c>
      <c r="N33" s="47">
        <v>5860000</v>
      </c>
      <c r="O33" s="47">
        <v>300000</v>
      </c>
      <c r="P33" s="48">
        <f>M33+N33</f>
        <v>15585000.151999999</v>
      </c>
      <c r="Q33" s="48">
        <f t="shared" ref="Q33:Q34" si="19">SUM(M33:N33)-O33</f>
        <v>15285000.151999999</v>
      </c>
      <c r="R33" s="47"/>
      <c r="S33" s="57">
        <f t="shared" ref="S33:S34" si="20">P33+R33</f>
        <v>15585000.151999999</v>
      </c>
      <c r="T33" s="48" t="s">
        <v>36</v>
      </c>
      <c r="U33" s="48" t="s">
        <v>36</v>
      </c>
      <c r="V33" s="48" t="s">
        <v>36</v>
      </c>
      <c r="W33" s="48" t="s">
        <v>36</v>
      </c>
      <c r="X33" s="48" t="s">
        <v>36</v>
      </c>
      <c r="Y33" s="48" t="s">
        <v>36</v>
      </c>
      <c r="Z33" s="48" t="s">
        <v>36</v>
      </c>
      <c r="AA33" s="48" t="s">
        <v>36</v>
      </c>
      <c r="AB33" s="48" t="s">
        <v>36</v>
      </c>
      <c r="AC33" s="48" t="s">
        <v>36</v>
      </c>
      <c r="AD33" s="48" t="s">
        <v>36</v>
      </c>
      <c r="AE33" s="48" t="s">
        <v>36</v>
      </c>
      <c r="AF33" s="48" t="s">
        <v>36</v>
      </c>
    </row>
    <row r="34" spans="1:32" s="32" customFormat="1" x14ac:dyDescent="0.2">
      <c r="A34" s="39" t="s">
        <v>32</v>
      </c>
      <c r="B34" s="40"/>
      <c r="C34" s="40"/>
      <c r="D34" s="41"/>
      <c r="E34" s="51"/>
      <c r="F34" s="43"/>
      <c r="G34" s="44"/>
      <c r="H34" s="45" t="s">
        <v>36</v>
      </c>
      <c r="I34" s="45" t="s">
        <v>36</v>
      </c>
      <c r="J34" s="43"/>
      <c r="K34" s="44"/>
      <c r="L34" s="44"/>
      <c r="M34" s="47"/>
      <c r="N34" s="47"/>
      <c r="O34" s="47"/>
      <c r="P34" s="48">
        <f t="shared" ref="P34" si="21">M34+N34</f>
        <v>0</v>
      </c>
      <c r="Q34" s="48">
        <f t="shared" si="19"/>
        <v>0</v>
      </c>
      <c r="R34" s="47"/>
      <c r="S34" s="57">
        <f t="shared" si="20"/>
        <v>0</v>
      </c>
      <c r="T34" s="48" t="s">
        <v>36</v>
      </c>
      <c r="U34" s="48" t="s">
        <v>36</v>
      </c>
      <c r="V34" s="48" t="s">
        <v>36</v>
      </c>
      <c r="W34" s="48" t="s">
        <v>36</v>
      </c>
      <c r="X34" s="48" t="s">
        <v>36</v>
      </c>
      <c r="Y34" s="48" t="s">
        <v>36</v>
      </c>
      <c r="Z34" s="48" t="s">
        <v>36</v>
      </c>
      <c r="AA34" s="48" t="s">
        <v>36</v>
      </c>
      <c r="AB34" s="48" t="s">
        <v>36</v>
      </c>
      <c r="AC34" s="48" t="s">
        <v>36</v>
      </c>
      <c r="AD34" s="48" t="s">
        <v>36</v>
      </c>
      <c r="AE34" s="48" t="s">
        <v>36</v>
      </c>
      <c r="AF34" s="48" t="s">
        <v>36</v>
      </c>
    </row>
    <row r="35" spans="1:32" s="32" customFormat="1" x14ac:dyDescent="0.2">
      <c r="A35" s="39" t="s">
        <v>32</v>
      </c>
      <c r="B35" s="39" t="s">
        <v>80</v>
      </c>
      <c r="C35" s="39"/>
      <c r="D35" s="53"/>
      <c r="E35" s="46">
        <f>SUM(E33:E34)</f>
        <v>5436.09</v>
      </c>
      <c r="F35" s="46">
        <f>SUM(F33:F34)</f>
        <v>35</v>
      </c>
      <c r="G35" s="46">
        <f>SUM(G33:G34)</f>
        <v>33.637999999999998</v>
      </c>
      <c r="H35" s="45"/>
      <c r="I35" s="45"/>
      <c r="J35" s="45"/>
      <c r="K35" s="46"/>
      <c r="L35" s="46">
        <f>SUM(L33:L34)</f>
        <v>0</v>
      </c>
      <c r="M35" s="48">
        <f t="shared" ref="M35:S35" si="22">SUM(M33:M34)</f>
        <v>9725000.1519999988</v>
      </c>
      <c r="N35" s="48">
        <f t="shared" si="22"/>
        <v>5860000</v>
      </c>
      <c r="O35" s="48">
        <f t="shared" si="22"/>
        <v>300000</v>
      </c>
      <c r="P35" s="48">
        <f t="shared" si="22"/>
        <v>15585000.151999999</v>
      </c>
      <c r="Q35" s="48">
        <f t="shared" si="22"/>
        <v>15285000.151999999</v>
      </c>
      <c r="R35" s="48">
        <f t="shared" si="22"/>
        <v>0</v>
      </c>
      <c r="S35" s="57">
        <f t="shared" si="22"/>
        <v>15585000.151999999</v>
      </c>
      <c r="T35" s="48" t="s">
        <v>36</v>
      </c>
      <c r="U35" s="50" t="s">
        <v>36</v>
      </c>
      <c r="V35" s="48" t="s">
        <v>36</v>
      </c>
      <c r="W35" s="54">
        <f>$V$12/SUM($F$56-$F$8-$F$12+$H$56+$I$56*0.5)*SUM(F35)</f>
        <v>48023.009698582006</v>
      </c>
      <c r="X35" s="48" t="s">
        <v>36</v>
      </c>
      <c r="Y35" s="55">
        <f>$X$16/SUM($G$56-$G$8-$G$12-$G$16)*G35</f>
        <v>112558.39869344579</v>
      </c>
      <c r="Z35" s="48" t="s">
        <v>36</v>
      </c>
      <c r="AA35" s="56">
        <f>$Z$31/SUM($G$35+$G$40+$G$54)*G35</f>
        <v>877645.54005858954</v>
      </c>
      <c r="AB35" s="58">
        <f>S35+W35+Y35+AA35</f>
        <v>16623227.100450616</v>
      </c>
      <c r="AC35" s="48" t="s">
        <v>36</v>
      </c>
      <c r="AD35" s="48"/>
      <c r="AE35" s="48" t="s">
        <v>36</v>
      </c>
      <c r="AF35" s="48" t="s">
        <v>36</v>
      </c>
    </row>
    <row r="36" spans="1:32" s="32" customFormat="1" x14ac:dyDescent="0.2">
      <c r="A36" s="33"/>
      <c r="B36" s="34" t="s">
        <v>81</v>
      </c>
      <c r="C36" s="34"/>
      <c r="D36" s="35"/>
      <c r="E36" s="36"/>
      <c r="F36" s="37"/>
      <c r="G36" s="36"/>
      <c r="H36" s="37"/>
      <c r="I36" s="37"/>
      <c r="J36" s="37"/>
      <c r="K36" s="36"/>
      <c r="L36" s="36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</row>
    <row r="37" spans="1:32" s="32" customFormat="1" ht="22.5" x14ac:dyDescent="0.2">
      <c r="A37" s="39" t="str">
        <f t="shared" ref="A37:A39" si="23">$A$5</f>
        <v>Rektorát</v>
      </c>
      <c r="B37" s="40" t="s">
        <v>82</v>
      </c>
      <c r="C37" s="40" t="s">
        <v>83</v>
      </c>
      <c r="D37" s="41" t="s">
        <v>84</v>
      </c>
      <c r="E37" s="42">
        <v>75.09</v>
      </c>
      <c r="F37" s="43">
        <v>3</v>
      </c>
      <c r="G37" s="44">
        <v>2.4670000000000001</v>
      </c>
      <c r="H37" s="45" t="s">
        <v>36</v>
      </c>
      <c r="I37" s="45" t="s">
        <v>36</v>
      </c>
      <c r="J37" s="43"/>
      <c r="K37" s="44"/>
      <c r="L37" s="59">
        <v>0</v>
      </c>
      <c r="M37" s="47">
        <f>1177056+500</f>
        <v>1177556</v>
      </c>
      <c r="N37" s="47">
        <v>48000</v>
      </c>
      <c r="O37" s="47"/>
      <c r="P37" s="48">
        <f>SUM(M37:N37)</f>
        <v>1225556</v>
      </c>
      <c r="Q37" s="48">
        <f>SUM(M37:N37)-O37</f>
        <v>1225556</v>
      </c>
      <c r="R37" s="47"/>
      <c r="S37" s="56">
        <f>P37+R37</f>
        <v>1225556</v>
      </c>
      <c r="T37" s="48" t="s">
        <v>36</v>
      </c>
      <c r="U37" s="48" t="s">
        <v>36</v>
      </c>
      <c r="V37" s="48" t="s">
        <v>36</v>
      </c>
      <c r="W37" s="48" t="s">
        <v>36</v>
      </c>
      <c r="X37" s="48" t="s">
        <v>36</v>
      </c>
      <c r="Y37" s="48" t="s">
        <v>36</v>
      </c>
      <c r="Z37" s="48" t="s">
        <v>36</v>
      </c>
      <c r="AA37" s="48" t="s">
        <v>36</v>
      </c>
      <c r="AB37" s="48" t="s">
        <v>36</v>
      </c>
      <c r="AC37" s="48" t="s">
        <v>36</v>
      </c>
      <c r="AD37" s="48" t="s">
        <v>36</v>
      </c>
      <c r="AE37" s="48" t="s">
        <v>36</v>
      </c>
      <c r="AF37" s="48" t="s">
        <v>36</v>
      </c>
    </row>
    <row r="38" spans="1:32" s="32" customFormat="1" x14ac:dyDescent="0.2">
      <c r="A38" s="39" t="s">
        <v>32</v>
      </c>
      <c r="B38" s="40" t="s">
        <v>85</v>
      </c>
      <c r="C38" s="40"/>
      <c r="D38" s="41"/>
      <c r="E38" s="42"/>
      <c r="F38" s="43"/>
      <c r="G38" s="44"/>
      <c r="H38" s="45" t="s">
        <v>36</v>
      </c>
      <c r="I38" s="45" t="s">
        <v>36</v>
      </c>
      <c r="J38" s="43"/>
      <c r="K38" s="44"/>
      <c r="L38" s="59"/>
      <c r="M38" s="47">
        <v>11315782.012508571</v>
      </c>
      <c r="N38" s="47">
        <v>5955000</v>
      </c>
      <c r="O38" s="47"/>
      <c r="P38" s="48">
        <f>M38+N38</f>
        <v>17270782.012508571</v>
      </c>
      <c r="Q38" s="48">
        <f t="shared" ref="Q38:Q39" si="24">SUM(M38:N38)-O38</f>
        <v>17270782.012508571</v>
      </c>
      <c r="R38" s="47"/>
      <c r="S38" s="56">
        <f>P38+R38</f>
        <v>17270782.012508571</v>
      </c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</row>
    <row r="39" spans="1:32" s="32" customFormat="1" x14ac:dyDescent="0.2">
      <c r="A39" s="39" t="str">
        <f t="shared" si="23"/>
        <v>Rektorát</v>
      </c>
      <c r="B39" s="40" t="s">
        <v>86</v>
      </c>
      <c r="C39" s="40"/>
      <c r="D39" s="41" t="s">
        <v>87</v>
      </c>
      <c r="E39" s="42">
        <v>95.86</v>
      </c>
      <c r="F39" s="43">
        <v>4</v>
      </c>
      <c r="G39" s="44">
        <v>3.1930000000000001</v>
      </c>
      <c r="H39" s="45" t="s">
        <v>36</v>
      </c>
      <c r="I39" s="45" t="s">
        <v>36</v>
      </c>
      <c r="J39" s="43"/>
      <c r="K39" s="44"/>
      <c r="L39" s="44"/>
      <c r="M39" s="47">
        <v>408968</v>
      </c>
      <c r="N39" s="47">
        <v>0</v>
      </c>
      <c r="O39" s="47"/>
      <c r="P39" s="48">
        <f t="shared" ref="P39" si="25">M39+N39</f>
        <v>408968</v>
      </c>
      <c r="Q39" s="48">
        <f t="shared" si="24"/>
        <v>408968</v>
      </c>
      <c r="R39" s="47"/>
      <c r="S39" s="57">
        <f t="shared" ref="S39" si="26">P39+R39</f>
        <v>408968</v>
      </c>
      <c r="T39" s="48" t="s">
        <v>36</v>
      </c>
      <c r="U39" s="48" t="s">
        <v>36</v>
      </c>
      <c r="V39" s="48" t="s">
        <v>36</v>
      </c>
      <c r="W39" s="48" t="s">
        <v>36</v>
      </c>
      <c r="X39" s="48" t="s">
        <v>36</v>
      </c>
      <c r="Y39" s="48" t="s">
        <v>36</v>
      </c>
      <c r="Z39" s="48" t="s">
        <v>36</v>
      </c>
      <c r="AA39" s="48" t="s">
        <v>36</v>
      </c>
      <c r="AB39" s="48" t="s">
        <v>36</v>
      </c>
      <c r="AC39" s="48" t="s">
        <v>36</v>
      </c>
      <c r="AD39" s="48" t="s">
        <v>36</v>
      </c>
      <c r="AE39" s="48" t="s">
        <v>36</v>
      </c>
      <c r="AF39" s="48" t="s">
        <v>36</v>
      </c>
    </row>
    <row r="40" spans="1:32" s="32" customFormat="1" x14ac:dyDescent="0.2">
      <c r="A40" s="39" t="str">
        <f t="shared" si="2"/>
        <v>Rektorát</v>
      </c>
      <c r="B40" s="39" t="s">
        <v>88</v>
      </c>
      <c r="C40" s="39"/>
      <c r="D40" s="53"/>
      <c r="E40" s="46">
        <f>SUM(E37:E39)</f>
        <v>170.95</v>
      </c>
      <c r="F40" s="46">
        <f>SUM(F37:F39)</f>
        <v>7</v>
      </c>
      <c r="G40" s="46">
        <f>SUM(G37:G39)</f>
        <v>5.66</v>
      </c>
      <c r="H40" s="45"/>
      <c r="I40" s="45"/>
      <c r="J40" s="45"/>
      <c r="K40" s="46"/>
      <c r="L40" s="46">
        <f>SUM(L37:L39)</f>
        <v>0</v>
      </c>
      <c r="M40" s="48">
        <f>SUM(M37:M39)</f>
        <v>12902306.012508571</v>
      </c>
      <c r="N40" s="48">
        <f t="shared" ref="N40:Z40" si="27">SUM(N37:N39)</f>
        <v>6003000</v>
      </c>
      <c r="O40" s="48">
        <f t="shared" si="27"/>
        <v>0</v>
      </c>
      <c r="P40" s="48">
        <f t="shared" si="27"/>
        <v>18905306.012508571</v>
      </c>
      <c r="Q40" s="48">
        <f t="shared" si="27"/>
        <v>18905306.012508571</v>
      </c>
      <c r="R40" s="48">
        <f t="shared" si="27"/>
        <v>0</v>
      </c>
      <c r="S40" s="57">
        <f t="shared" si="27"/>
        <v>18905306.012508571</v>
      </c>
      <c r="T40" s="48">
        <f t="shared" si="27"/>
        <v>0</v>
      </c>
      <c r="U40" s="50">
        <f>$T$8/SUM($E$56-$E$8-$E$54-$E$35)*E40</f>
        <v>403352.12817497237</v>
      </c>
      <c r="V40" s="48">
        <f t="shared" si="27"/>
        <v>0</v>
      </c>
      <c r="W40" s="54">
        <f>$V$12/SUM($F$56-$F$8-$F$12+$H$56+$I$56*0.5)*SUM(F40)</f>
        <v>9604.6019397164</v>
      </c>
      <c r="X40" s="48">
        <f t="shared" si="27"/>
        <v>0</v>
      </c>
      <c r="Y40" s="55">
        <f>$X$16/SUM($G$56-$G$8-$G$12-$G$16)*G40</f>
        <v>18939.310797458325</v>
      </c>
      <c r="Z40" s="48">
        <f t="shared" si="27"/>
        <v>0</v>
      </c>
      <c r="AA40" s="56">
        <f>$Z$31/SUM($G$35+$G$40+$G$54)*G40</f>
        <v>147674.46806384498</v>
      </c>
      <c r="AB40" s="48">
        <f t="shared" ref="AB40" si="28">SUM(AB37:AB39)</f>
        <v>0</v>
      </c>
      <c r="AC40" s="58" t="s">
        <v>36</v>
      </c>
      <c r="AD40" s="57">
        <f>S40+U40+W40+Y40+AA40</f>
        <v>19484876.521484561</v>
      </c>
      <c r="AE40" s="48" t="s">
        <v>36</v>
      </c>
      <c r="AF40" s="48" t="s">
        <v>36</v>
      </c>
    </row>
    <row r="41" spans="1:32" s="32" customFormat="1" x14ac:dyDescent="0.2">
      <c r="A41" s="39" t="s">
        <v>32</v>
      </c>
      <c r="B41" s="39" t="s">
        <v>89</v>
      </c>
      <c r="C41" s="39"/>
      <c r="D41" s="53"/>
      <c r="E41" s="46">
        <f>E8+E12+E16+E31+E35+E40</f>
        <v>8782.18</v>
      </c>
      <c r="F41" s="46">
        <f>F8+F12+F16+F31+F35+F40</f>
        <v>128</v>
      </c>
      <c r="G41" s="46">
        <f>G8+G12+G16+G31+G35+G40</f>
        <v>125.29599999999999</v>
      </c>
      <c r="H41" s="45"/>
      <c r="I41" s="45"/>
      <c r="J41" s="45"/>
      <c r="K41" s="46"/>
      <c r="L41" s="46"/>
      <c r="M41" s="48">
        <f t="shared" ref="M41:S41" si="29">M8+M12+M16+M31+M35+M40</f>
        <v>52908065.399028569</v>
      </c>
      <c r="N41" s="48">
        <f t="shared" si="29"/>
        <v>32767354.599999998</v>
      </c>
      <c r="O41" s="48">
        <f t="shared" si="29"/>
        <v>2099999.9999999995</v>
      </c>
      <c r="P41" s="48">
        <f t="shared" si="29"/>
        <v>85675419.999028563</v>
      </c>
      <c r="Q41" s="48">
        <f t="shared" si="29"/>
        <v>83575419.999028563</v>
      </c>
      <c r="R41" s="48">
        <f t="shared" si="29"/>
        <v>0</v>
      </c>
      <c r="S41" s="57">
        <f t="shared" si="29"/>
        <v>85675419.999028563</v>
      </c>
      <c r="T41" s="48"/>
      <c r="U41" s="50"/>
      <c r="V41" s="48"/>
      <c r="W41" s="54"/>
      <c r="X41" s="48"/>
      <c r="Y41" s="55"/>
      <c r="Z41" s="48"/>
      <c r="AA41" s="56"/>
      <c r="AB41" s="48"/>
      <c r="AC41" s="58"/>
      <c r="AD41" s="57"/>
      <c r="AE41" s="48"/>
      <c r="AF41" s="48"/>
    </row>
    <row r="42" spans="1:32" s="32" customFormat="1" ht="33.75" x14ac:dyDescent="0.2">
      <c r="A42" s="33"/>
      <c r="B42" s="34" t="s">
        <v>90</v>
      </c>
      <c r="C42" s="34"/>
      <c r="D42" s="35"/>
      <c r="E42" s="36"/>
      <c r="F42" s="36"/>
      <c r="G42" s="36"/>
      <c r="H42" s="37"/>
      <c r="I42" s="37"/>
      <c r="J42" s="37"/>
      <c r="K42" s="36"/>
      <c r="L42" s="36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</row>
    <row r="43" spans="1:32" s="32" customFormat="1" x14ac:dyDescent="0.2">
      <c r="A43" s="39"/>
      <c r="B43" s="33" t="s">
        <v>91</v>
      </c>
      <c r="C43" s="40"/>
      <c r="D43" s="41" t="s">
        <v>92</v>
      </c>
      <c r="E43" s="44" t="s">
        <v>72</v>
      </c>
      <c r="F43" s="43"/>
      <c r="G43" s="44"/>
      <c r="H43" s="45"/>
      <c r="I43" s="45"/>
      <c r="J43" s="45"/>
      <c r="K43" s="46"/>
      <c r="L43" s="46"/>
      <c r="M43" s="49"/>
      <c r="N43" s="49"/>
      <c r="O43" s="49"/>
      <c r="P43" s="48">
        <f>M43+N43</f>
        <v>0</v>
      </c>
      <c r="Q43" s="48">
        <f t="shared" ref="Q43:Q53" si="30">SUM(M43:N43)-O43</f>
        <v>0</v>
      </c>
      <c r="R43" s="47"/>
      <c r="S43" s="48">
        <f t="shared" ref="S43:S53" si="31">P43+R43</f>
        <v>0</v>
      </c>
      <c r="T43" s="48" t="s">
        <v>36</v>
      </c>
      <c r="U43" s="50"/>
      <c r="V43" s="48" t="s">
        <v>36</v>
      </c>
      <c r="W43" s="54">
        <f>$V$12/SUM($F$56-$F$8-$F$12+$H$56+$I$56*0.5)*SUM(F43)</f>
        <v>0</v>
      </c>
      <c r="X43" s="48" t="s">
        <v>36</v>
      </c>
      <c r="Y43" s="55">
        <f t="shared" ref="Y43:Y53" si="32">$X$16/SUM($G$56-$G$8-$G$12-$G$16)*G43</f>
        <v>0</v>
      </c>
      <c r="Z43" s="48" t="s">
        <v>36</v>
      </c>
      <c r="AA43" s="56">
        <f t="shared" ref="AA43:AA53" si="33">$Z$31/SUM($G$35+$G$40+$G$54)*G43</f>
        <v>0</v>
      </c>
      <c r="AB43" s="48" t="s">
        <v>36</v>
      </c>
      <c r="AC43" s="58">
        <f t="shared" ref="AC43:AC52" si="34">$AB$35/SUM(($F$54-$F$53),$H$54,$I$54*0.5)*SUM(F43,H43,I43*0.5)</f>
        <v>0</v>
      </c>
      <c r="AD43" s="48" t="s">
        <v>36</v>
      </c>
      <c r="AE43" s="57" t="s">
        <v>36</v>
      </c>
      <c r="AF43" s="48">
        <f>SUM(Q43,U43,W43,Y43,AA43,AC43,AE43)</f>
        <v>0</v>
      </c>
    </row>
    <row r="44" spans="1:32" s="32" customFormat="1" x14ac:dyDescent="0.2">
      <c r="A44" s="39"/>
      <c r="B44" s="33" t="s">
        <v>93</v>
      </c>
      <c r="C44" s="40"/>
      <c r="D44" s="41" t="s">
        <v>94</v>
      </c>
      <c r="E44" s="44" t="s">
        <v>72</v>
      </c>
      <c r="F44" s="43"/>
      <c r="G44" s="44"/>
      <c r="H44" s="45"/>
      <c r="I44" s="45"/>
      <c r="J44" s="45"/>
      <c r="K44" s="46"/>
      <c r="L44" s="46"/>
      <c r="M44" s="49"/>
      <c r="N44" s="49"/>
      <c r="O44" s="49"/>
      <c r="P44" s="48">
        <f t="shared" ref="P44:P52" si="35">M44+N44</f>
        <v>0</v>
      </c>
      <c r="Q44" s="48">
        <f t="shared" ref="Q44:Q52" si="36">SUM(M44:N44)-O44</f>
        <v>0</v>
      </c>
      <c r="R44" s="47"/>
      <c r="S44" s="48">
        <f t="shared" si="31"/>
        <v>0</v>
      </c>
      <c r="T44" s="48" t="s">
        <v>36</v>
      </c>
      <c r="U44" s="50"/>
      <c r="V44" s="48" t="s">
        <v>36</v>
      </c>
      <c r="W44" s="54">
        <f>$V$12/SUM($F$56-$F$8-$F$12+$H$56+$I$56*0.5)*SUM(F44)</f>
        <v>0</v>
      </c>
      <c r="X44" s="48" t="s">
        <v>36</v>
      </c>
      <c r="Y44" s="55">
        <f t="shared" si="32"/>
        <v>0</v>
      </c>
      <c r="Z44" s="48" t="s">
        <v>36</v>
      </c>
      <c r="AA44" s="56">
        <f t="shared" si="33"/>
        <v>0</v>
      </c>
      <c r="AB44" s="48" t="s">
        <v>36</v>
      </c>
      <c r="AC44" s="58">
        <f t="shared" si="34"/>
        <v>0</v>
      </c>
      <c r="AD44" s="48" t="s">
        <v>36</v>
      </c>
      <c r="AE44" s="57" t="s">
        <v>36</v>
      </c>
      <c r="AF44" s="48">
        <f t="shared" ref="AF44:AF53" si="37">SUM(Q44,U44,W44,Y44,AA44,AC44,AE44)</f>
        <v>0</v>
      </c>
    </row>
    <row r="45" spans="1:32" s="32" customFormat="1" x14ac:dyDescent="0.2">
      <c r="A45" s="39"/>
      <c r="B45" s="40" t="s">
        <v>95</v>
      </c>
      <c r="C45" s="40"/>
      <c r="D45" s="41" t="s">
        <v>96</v>
      </c>
      <c r="E45" s="42" t="s">
        <v>72</v>
      </c>
      <c r="F45" s="43">
        <v>122</v>
      </c>
      <c r="G45" s="44">
        <v>107.383</v>
      </c>
      <c r="H45" s="43">
        <v>1183</v>
      </c>
      <c r="I45" s="43">
        <v>380</v>
      </c>
      <c r="J45" s="43">
        <v>10</v>
      </c>
      <c r="K45" s="44">
        <v>5465.28</v>
      </c>
      <c r="L45" s="44">
        <v>0.27100000000000002</v>
      </c>
      <c r="M45" s="47"/>
      <c r="N45" s="47"/>
      <c r="O45" s="47"/>
      <c r="P45" s="48">
        <f t="shared" si="35"/>
        <v>0</v>
      </c>
      <c r="Q45" s="48">
        <f t="shared" si="36"/>
        <v>0</v>
      </c>
      <c r="R45" s="47"/>
      <c r="S45" s="48">
        <f t="shared" si="31"/>
        <v>0</v>
      </c>
      <c r="T45" s="48" t="s">
        <v>36</v>
      </c>
      <c r="U45" s="50"/>
      <c r="V45" s="48" t="s">
        <v>36</v>
      </c>
      <c r="W45" s="54">
        <f t="shared" ref="W45:W53" si="38">$V$12/SUM($F$56-$F$8-$F$12+$H$56+$I$56*0.5)*SUM(F45+H45+I45*0.5)</f>
        <v>2051268.5571251456</v>
      </c>
      <c r="X45" s="48" t="s">
        <v>36</v>
      </c>
      <c r="Y45" s="55">
        <f t="shared" si="32"/>
        <v>359321.55677799776</v>
      </c>
      <c r="Z45" s="48" t="s">
        <v>36</v>
      </c>
      <c r="AA45" s="56">
        <f t="shared" si="33"/>
        <v>2801718.6226324849</v>
      </c>
      <c r="AB45" s="48" t="s">
        <v>36</v>
      </c>
      <c r="AC45" s="58">
        <f t="shared" si="34"/>
        <v>2375200.6609169142</v>
      </c>
      <c r="AD45" s="48" t="s">
        <v>36</v>
      </c>
      <c r="AE45" s="57">
        <f>$AD$40*0.5*(L45/$L$54)+$AD$40*0.25*(J45/$J$54)+$AD$40*0.25*(K45/$K$54)</f>
        <v>239891.0881424114</v>
      </c>
      <c r="AF45" s="48">
        <f t="shared" si="37"/>
        <v>7827400.4855949543</v>
      </c>
    </row>
    <row r="46" spans="1:32" s="32" customFormat="1" x14ac:dyDescent="0.2">
      <c r="A46" s="39"/>
      <c r="B46" s="40" t="s">
        <v>97</v>
      </c>
      <c r="C46" s="40"/>
      <c r="D46" s="41" t="s">
        <v>98</v>
      </c>
      <c r="E46" s="60" t="s">
        <v>72</v>
      </c>
      <c r="F46" s="43">
        <v>107</v>
      </c>
      <c r="G46" s="44">
        <v>99.866</v>
      </c>
      <c r="H46" s="43">
        <v>749</v>
      </c>
      <c r="I46" s="43">
        <v>8</v>
      </c>
      <c r="J46" s="43">
        <v>22</v>
      </c>
      <c r="K46" s="44">
        <v>29355</v>
      </c>
      <c r="L46" s="44">
        <v>8.9809999999999999</v>
      </c>
      <c r="M46" s="47"/>
      <c r="N46" s="47"/>
      <c r="O46" s="47"/>
      <c r="P46" s="48">
        <f t="shared" si="35"/>
        <v>0</v>
      </c>
      <c r="Q46" s="48">
        <f t="shared" si="36"/>
        <v>0</v>
      </c>
      <c r="R46" s="47"/>
      <c r="S46" s="48">
        <f t="shared" si="31"/>
        <v>0</v>
      </c>
      <c r="T46" s="48" t="s">
        <v>36</v>
      </c>
      <c r="U46" s="50"/>
      <c r="V46" s="48" t="s">
        <v>36</v>
      </c>
      <c r="W46" s="54">
        <f t="shared" si="38"/>
        <v>1179993.9525937291</v>
      </c>
      <c r="X46" s="48" t="s">
        <v>36</v>
      </c>
      <c r="Y46" s="55">
        <f t="shared" si="32"/>
        <v>334168.41203162074</v>
      </c>
      <c r="Z46" s="48" t="s">
        <v>36</v>
      </c>
      <c r="AA46" s="56">
        <f t="shared" si="33"/>
        <v>2605593.3617780819</v>
      </c>
      <c r="AB46" s="48" t="s">
        <v>36</v>
      </c>
      <c r="AC46" s="58">
        <f t="shared" si="34"/>
        <v>1366336.1661461848</v>
      </c>
      <c r="AD46" s="48" t="s">
        <v>36</v>
      </c>
      <c r="AE46" s="57">
        <f t="shared" ref="AE46:AE52" si="39">$AD$40*0.5*(L46/$L$54)+$AD$40*0.25*(J46/$J$54)+$AD$40*0.25*(K46/$K$54)</f>
        <v>1482151.7540589881</v>
      </c>
      <c r="AF46" s="48">
        <f t="shared" si="37"/>
        <v>6968243.646608605</v>
      </c>
    </row>
    <row r="47" spans="1:32" s="32" customFormat="1" x14ac:dyDescent="0.2">
      <c r="A47" s="39"/>
      <c r="B47" s="40" t="s">
        <v>99</v>
      </c>
      <c r="C47" s="40"/>
      <c r="D47" s="41" t="s">
        <v>100</v>
      </c>
      <c r="E47" s="42" t="s">
        <v>72</v>
      </c>
      <c r="F47" s="43">
        <v>197</v>
      </c>
      <c r="G47" s="44">
        <v>141.79900000000001</v>
      </c>
      <c r="H47" s="43">
        <v>193</v>
      </c>
      <c r="I47" s="43">
        <v>67</v>
      </c>
      <c r="J47" s="43">
        <v>56</v>
      </c>
      <c r="K47" s="44">
        <v>223943.44</v>
      </c>
      <c r="L47" s="44">
        <v>35.441000000000003</v>
      </c>
      <c r="M47" s="47"/>
      <c r="N47" s="47"/>
      <c r="O47" s="47"/>
      <c r="P47" s="48">
        <f t="shared" si="35"/>
        <v>0</v>
      </c>
      <c r="Q47" s="48">
        <f t="shared" si="36"/>
        <v>0</v>
      </c>
      <c r="R47" s="47"/>
      <c r="S47" s="48">
        <f t="shared" si="31"/>
        <v>0</v>
      </c>
      <c r="T47" s="48" t="s">
        <v>36</v>
      </c>
      <c r="U47" s="50"/>
      <c r="V47" s="48" t="s">
        <v>36</v>
      </c>
      <c r="W47" s="54">
        <f t="shared" si="38"/>
        <v>581078.41735284228</v>
      </c>
      <c r="X47" s="48" t="s">
        <v>36</v>
      </c>
      <c r="Y47" s="55">
        <f t="shared" si="32"/>
        <v>474483.27416409779</v>
      </c>
      <c r="Z47" s="48" t="s">
        <v>36</v>
      </c>
      <c r="AA47" s="56">
        <f t="shared" si="33"/>
        <v>3699662.8793259989</v>
      </c>
      <c r="AB47" s="48" t="s">
        <v>36</v>
      </c>
      <c r="AC47" s="58">
        <f t="shared" si="34"/>
        <v>672841.12367780146</v>
      </c>
      <c r="AD47" s="48" t="s">
        <v>36</v>
      </c>
      <c r="AE47" s="57">
        <f t="shared" si="39"/>
        <v>6038392.0633691289</v>
      </c>
      <c r="AF47" s="48">
        <f t="shared" si="37"/>
        <v>11466457.757889869</v>
      </c>
    </row>
    <row r="48" spans="1:32" s="32" customFormat="1" x14ac:dyDescent="0.2">
      <c r="A48" s="39"/>
      <c r="B48" s="40" t="s">
        <v>101</v>
      </c>
      <c r="C48" s="40"/>
      <c r="D48" s="41" t="s">
        <v>102</v>
      </c>
      <c r="E48" s="42" t="s">
        <v>72</v>
      </c>
      <c r="F48" s="43">
        <v>222</v>
      </c>
      <c r="G48" s="44">
        <v>198.31399999999999</v>
      </c>
      <c r="H48" s="43">
        <v>1840</v>
      </c>
      <c r="I48" s="43">
        <v>581</v>
      </c>
      <c r="J48" s="43">
        <v>16</v>
      </c>
      <c r="K48" s="44">
        <v>14868.8</v>
      </c>
      <c r="L48" s="44">
        <v>1.117</v>
      </c>
      <c r="M48" s="47"/>
      <c r="N48" s="47"/>
      <c r="O48" s="47"/>
      <c r="P48" s="48">
        <f t="shared" si="35"/>
        <v>0</v>
      </c>
      <c r="Q48" s="48">
        <f t="shared" si="36"/>
        <v>0</v>
      </c>
      <c r="R48" s="47"/>
      <c r="S48" s="48">
        <f t="shared" si="31"/>
        <v>0</v>
      </c>
      <c r="T48" s="48" t="s">
        <v>36</v>
      </c>
      <c r="U48" s="50"/>
      <c r="V48" s="48" t="s">
        <v>36</v>
      </c>
      <c r="W48" s="54">
        <f t="shared" si="38"/>
        <v>3227832.2947404045</v>
      </c>
      <c r="X48" s="48" t="s">
        <v>36</v>
      </c>
      <c r="Y48" s="55">
        <f t="shared" si="32"/>
        <v>663591.95785992057</v>
      </c>
      <c r="Z48" s="48" t="s">
        <v>36</v>
      </c>
      <c r="AA48" s="56">
        <f t="shared" si="33"/>
        <v>5174189.8338539489</v>
      </c>
      <c r="AB48" s="48" t="s">
        <v>36</v>
      </c>
      <c r="AC48" s="58">
        <f t="shared" si="34"/>
        <v>3737564.9196033715</v>
      </c>
      <c r="AD48" s="48" t="s">
        <v>36</v>
      </c>
      <c r="AE48" s="57">
        <f t="shared" si="39"/>
        <v>493493.27103725454</v>
      </c>
      <c r="AF48" s="48">
        <f t="shared" si="37"/>
        <v>13296672.277094901</v>
      </c>
    </row>
    <row r="49" spans="1:32" s="32" customFormat="1" x14ac:dyDescent="0.2">
      <c r="A49" s="39"/>
      <c r="B49" s="40" t="s">
        <v>103</v>
      </c>
      <c r="C49" s="40"/>
      <c r="D49" s="41" t="s">
        <v>104</v>
      </c>
      <c r="E49" s="42" t="s">
        <v>72</v>
      </c>
      <c r="F49" s="43">
        <v>384</v>
      </c>
      <c r="G49" s="44">
        <v>238.94</v>
      </c>
      <c r="H49" s="43">
        <v>998</v>
      </c>
      <c r="I49" s="43">
        <v>63</v>
      </c>
      <c r="J49" s="43">
        <v>105</v>
      </c>
      <c r="K49" s="44">
        <v>341262.76</v>
      </c>
      <c r="L49" s="44">
        <v>44.387999999999998</v>
      </c>
      <c r="M49" s="47"/>
      <c r="N49" s="47"/>
      <c r="O49" s="47"/>
      <c r="P49" s="48">
        <f t="shared" si="35"/>
        <v>0</v>
      </c>
      <c r="Q49" s="48">
        <f t="shared" si="36"/>
        <v>0</v>
      </c>
      <c r="R49" s="47"/>
      <c r="S49" s="48">
        <f t="shared" si="31"/>
        <v>0</v>
      </c>
      <c r="T49" s="48" t="s">
        <v>36</v>
      </c>
      <c r="U49" s="50"/>
      <c r="V49" s="48" t="s">
        <v>36</v>
      </c>
      <c r="W49" s="54">
        <f t="shared" si="38"/>
        <v>1939443.5488270188</v>
      </c>
      <c r="X49" s="48" t="s">
        <v>36</v>
      </c>
      <c r="Y49" s="55">
        <f t="shared" si="32"/>
        <v>799533.37843545806</v>
      </c>
      <c r="Z49" s="48" t="s">
        <v>36</v>
      </c>
      <c r="AA49" s="56">
        <f t="shared" si="33"/>
        <v>6234158.5510910107</v>
      </c>
      <c r="AB49" s="48" t="s">
        <v>36</v>
      </c>
      <c r="AC49" s="58">
        <f t="shared" si="34"/>
        <v>2245716.4777298048</v>
      </c>
      <c r="AD49" s="48" t="s">
        <v>36</v>
      </c>
      <c r="AE49" s="57">
        <f t="shared" si="39"/>
        <v>8587135.7596344762</v>
      </c>
      <c r="AF49" s="48">
        <f t="shared" si="37"/>
        <v>19805987.71571777</v>
      </c>
    </row>
    <row r="50" spans="1:32" s="32" customFormat="1" x14ac:dyDescent="0.2">
      <c r="A50" s="39"/>
      <c r="B50" s="40" t="s">
        <v>105</v>
      </c>
      <c r="C50" s="40"/>
      <c r="D50" s="41" t="s">
        <v>106</v>
      </c>
      <c r="E50" s="42" t="s">
        <v>72</v>
      </c>
      <c r="F50" s="43">
        <v>70</v>
      </c>
      <c r="G50" s="44">
        <v>57.610999999999997</v>
      </c>
      <c r="H50" s="43">
        <v>347</v>
      </c>
      <c r="I50" s="43">
        <v>431</v>
      </c>
      <c r="J50" s="43">
        <v>9</v>
      </c>
      <c r="K50" s="44">
        <v>10727.98</v>
      </c>
      <c r="L50" s="44">
        <v>3.593</v>
      </c>
      <c r="M50" s="47"/>
      <c r="N50" s="47"/>
      <c r="O50" s="47"/>
      <c r="P50" s="48">
        <f t="shared" si="35"/>
        <v>0</v>
      </c>
      <c r="Q50" s="48">
        <f t="shared" si="36"/>
        <v>0</v>
      </c>
      <c r="R50" s="47"/>
      <c r="S50" s="48">
        <f t="shared" si="31"/>
        <v>0</v>
      </c>
      <c r="T50" s="48" t="s">
        <v>36</v>
      </c>
      <c r="U50" s="50"/>
      <c r="V50" s="48" t="s">
        <v>36</v>
      </c>
      <c r="W50" s="54">
        <f t="shared" si="38"/>
        <v>867844.3895529462</v>
      </c>
      <c r="X50" s="48" t="s">
        <v>36</v>
      </c>
      <c r="Y50" s="55">
        <f t="shared" si="32"/>
        <v>192776.08380783952</v>
      </c>
      <c r="Z50" s="48" t="s">
        <v>36</v>
      </c>
      <c r="AA50" s="56">
        <f t="shared" si="33"/>
        <v>1503122.5759056841</v>
      </c>
      <c r="AB50" s="48" t="s">
        <v>36</v>
      </c>
      <c r="AC50" s="58">
        <f t="shared" si="34"/>
        <v>1004892.5873110021</v>
      </c>
      <c r="AD50" s="48" t="s">
        <v>36</v>
      </c>
      <c r="AE50" s="57">
        <f t="shared" si="39"/>
        <v>589576.78018220828</v>
      </c>
      <c r="AF50" s="48">
        <f t="shared" si="37"/>
        <v>4158212.41675968</v>
      </c>
    </row>
    <row r="51" spans="1:32" s="32" customFormat="1" x14ac:dyDescent="0.2">
      <c r="A51" s="39"/>
      <c r="B51" s="40" t="s">
        <v>107</v>
      </c>
      <c r="C51" s="40"/>
      <c r="D51" s="41" t="s">
        <v>108</v>
      </c>
      <c r="E51" s="42" t="s">
        <v>72</v>
      </c>
      <c r="F51" s="43">
        <v>233</v>
      </c>
      <c r="G51" s="44">
        <v>162.95699999999999</v>
      </c>
      <c r="H51" s="43">
        <v>1342</v>
      </c>
      <c r="I51" s="43">
        <v>739</v>
      </c>
      <c r="J51" s="43">
        <v>14</v>
      </c>
      <c r="K51" s="44">
        <v>21242.880000000001</v>
      </c>
      <c r="L51" s="44">
        <v>1.0720000000000001</v>
      </c>
      <c r="M51" s="47"/>
      <c r="N51" s="47"/>
      <c r="O51" s="47"/>
      <c r="P51" s="48">
        <f t="shared" si="35"/>
        <v>0</v>
      </c>
      <c r="Q51" s="48">
        <f t="shared" si="36"/>
        <v>0</v>
      </c>
      <c r="R51" s="47"/>
      <c r="S51" s="48">
        <f t="shared" si="31"/>
        <v>0</v>
      </c>
      <c r="T51" s="48" t="s">
        <v>36</v>
      </c>
      <c r="U51" s="50" t="s">
        <v>36</v>
      </c>
      <c r="V51" s="48" t="s">
        <v>36</v>
      </c>
      <c r="W51" s="54">
        <f t="shared" si="38"/>
        <v>2668021.2102540773</v>
      </c>
      <c r="X51" s="48" t="s">
        <v>36</v>
      </c>
      <c r="Y51" s="55">
        <f t="shared" si="32"/>
        <v>545281.49639954348</v>
      </c>
      <c r="Z51" s="48" t="s">
        <v>36</v>
      </c>
      <c r="AA51" s="56">
        <f t="shared" si="33"/>
        <v>4251694.0445724353</v>
      </c>
      <c r="AB51" s="48" t="s">
        <v>36</v>
      </c>
      <c r="AC51" s="58">
        <f t="shared" si="34"/>
        <v>3089349.6221758793</v>
      </c>
      <c r="AD51" s="48" t="s">
        <v>36</v>
      </c>
      <c r="AE51" s="57">
        <f t="shared" si="39"/>
        <v>496956.87919748656</v>
      </c>
      <c r="AF51" s="48">
        <f t="shared" si="37"/>
        <v>11051303.252599422</v>
      </c>
    </row>
    <row r="52" spans="1:32" s="32" customFormat="1" x14ac:dyDescent="0.2">
      <c r="A52" s="39"/>
      <c r="B52" s="40" t="s">
        <v>109</v>
      </c>
      <c r="C52" s="40"/>
      <c r="D52" s="41" t="s">
        <v>110</v>
      </c>
      <c r="E52" s="42" t="s">
        <v>72</v>
      </c>
      <c r="F52" s="43">
        <v>166</v>
      </c>
      <c r="G52" s="44">
        <v>145.5</v>
      </c>
      <c r="H52" s="43">
        <v>977</v>
      </c>
      <c r="I52" s="43">
        <v>397</v>
      </c>
      <c r="J52" s="43">
        <v>45</v>
      </c>
      <c r="K52" s="44">
        <v>73079.850000000006</v>
      </c>
      <c r="L52" s="44">
        <v>2.7189999999999999</v>
      </c>
      <c r="M52" s="47"/>
      <c r="N52" s="47"/>
      <c r="O52" s="47"/>
      <c r="P52" s="48">
        <f t="shared" si="35"/>
        <v>0</v>
      </c>
      <c r="Q52" s="48">
        <f t="shared" si="36"/>
        <v>0</v>
      </c>
      <c r="R52" s="47"/>
      <c r="S52" s="48">
        <f t="shared" si="31"/>
        <v>0</v>
      </c>
      <c r="T52" s="48" t="s">
        <v>36</v>
      </c>
      <c r="U52" s="50"/>
      <c r="V52" s="48" t="s">
        <v>36</v>
      </c>
      <c r="W52" s="54">
        <f t="shared" si="38"/>
        <v>1840653.3574470787</v>
      </c>
      <c r="X52" s="48" t="s">
        <v>36</v>
      </c>
      <c r="Y52" s="55">
        <f t="shared" si="32"/>
        <v>486867.44187812484</v>
      </c>
      <c r="Z52" s="48" t="s">
        <v>36</v>
      </c>
      <c r="AA52" s="56">
        <f t="shared" si="33"/>
        <v>3796225.2832666864</v>
      </c>
      <c r="AB52" s="48" t="s">
        <v>36</v>
      </c>
      <c r="AC52" s="58">
        <f t="shared" si="34"/>
        <v>2131325.5428896588</v>
      </c>
      <c r="AD52" s="48" t="s">
        <v>36</v>
      </c>
      <c r="AE52" s="57">
        <f t="shared" si="39"/>
        <v>1557278.9258626043</v>
      </c>
      <c r="AF52" s="48">
        <f t="shared" si="37"/>
        <v>9812350.5513441525</v>
      </c>
    </row>
    <row r="53" spans="1:32" s="32" customFormat="1" x14ac:dyDescent="0.2">
      <c r="A53" s="39"/>
      <c r="B53" s="40" t="s">
        <v>111</v>
      </c>
      <c r="C53" s="40"/>
      <c r="D53" s="41" t="s">
        <v>112</v>
      </c>
      <c r="E53" s="42" t="s">
        <v>72</v>
      </c>
      <c r="F53" s="43">
        <f>86/2</f>
        <v>43</v>
      </c>
      <c r="G53" s="44">
        <f>83.554/2</f>
        <v>41.777000000000001</v>
      </c>
      <c r="H53" s="45"/>
      <c r="I53" s="45"/>
      <c r="J53" s="45"/>
      <c r="K53" s="46"/>
      <c r="L53" s="46"/>
      <c r="M53" s="47"/>
      <c r="N53" s="47"/>
      <c r="O53" s="47"/>
      <c r="P53" s="48">
        <v>0</v>
      </c>
      <c r="Q53" s="48">
        <f t="shared" si="30"/>
        <v>0</v>
      </c>
      <c r="R53" s="47"/>
      <c r="S53" s="48">
        <f t="shared" si="31"/>
        <v>0</v>
      </c>
      <c r="T53" s="48" t="s">
        <v>36</v>
      </c>
      <c r="U53" s="50"/>
      <c r="V53" s="48" t="s">
        <v>36</v>
      </c>
      <c r="W53" s="54">
        <f t="shared" si="38"/>
        <v>58999.69762968646</v>
      </c>
      <c r="X53" s="48" t="s">
        <v>36</v>
      </c>
      <c r="Y53" s="55">
        <f t="shared" si="32"/>
        <v>139792.85992675205</v>
      </c>
      <c r="Z53" s="48" t="s">
        <v>36</v>
      </c>
      <c r="AA53" s="56">
        <f t="shared" si="33"/>
        <v>1089999.3378627654</v>
      </c>
      <c r="AB53" s="48" t="s">
        <v>36</v>
      </c>
      <c r="AC53" s="58" t="s">
        <v>36</v>
      </c>
      <c r="AD53" s="48" t="s">
        <v>36</v>
      </c>
      <c r="AE53" s="57" t="s">
        <v>36</v>
      </c>
      <c r="AF53" s="48">
        <f t="shared" si="37"/>
        <v>1288791.8954192039</v>
      </c>
    </row>
    <row r="54" spans="1:32" s="32" customFormat="1" x14ac:dyDescent="0.2">
      <c r="A54" s="39"/>
      <c r="B54" s="39" t="s">
        <v>113</v>
      </c>
      <c r="C54" s="39"/>
      <c r="D54" s="53"/>
      <c r="E54" s="46">
        <f t="shared" ref="E54:S54" si="40">SUM(E43:E53)</f>
        <v>0</v>
      </c>
      <c r="F54" s="46">
        <f t="shared" si="40"/>
        <v>1544</v>
      </c>
      <c r="G54" s="46">
        <f t="shared" si="40"/>
        <v>1194.1469999999999</v>
      </c>
      <c r="H54" s="45">
        <f t="shared" si="40"/>
        <v>7629</v>
      </c>
      <c r="I54" s="45">
        <f t="shared" si="40"/>
        <v>2666</v>
      </c>
      <c r="J54" s="45">
        <f t="shared" si="40"/>
        <v>277</v>
      </c>
      <c r="K54" s="46">
        <f t="shared" si="40"/>
        <v>719945.99</v>
      </c>
      <c r="L54" s="46">
        <f t="shared" si="40"/>
        <v>97.582000000000008</v>
      </c>
      <c r="M54" s="48">
        <f t="shared" si="40"/>
        <v>0</v>
      </c>
      <c r="N54" s="48">
        <f t="shared" si="40"/>
        <v>0</v>
      </c>
      <c r="O54" s="48">
        <f t="shared" si="40"/>
        <v>0</v>
      </c>
      <c r="P54" s="48">
        <f t="shared" si="40"/>
        <v>0</v>
      </c>
      <c r="Q54" s="48">
        <f t="shared" si="40"/>
        <v>0</v>
      </c>
      <c r="R54" s="48">
        <f t="shared" si="40"/>
        <v>0</v>
      </c>
      <c r="S54" s="48">
        <f t="shared" si="40"/>
        <v>0</v>
      </c>
      <c r="T54" s="48" t="s">
        <v>36</v>
      </c>
      <c r="U54" s="50">
        <f>SUM(U43:U53)</f>
        <v>0</v>
      </c>
      <c r="V54" s="48" t="s">
        <v>36</v>
      </c>
      <c r="W54" s="54">
        <f>SUM(W43:W53)</f>
        <v>14415135.425522929</v>
      </c>
      <c r="X54" s="48" t="s">
        <v>36</v>
      </c>
      <c r="Y54" s="55">
        <f>SUM(Y43:Y53)</f>
        <v>3995816.4612813545</v>
      </c>
      <c r="Z54" s="48" t="s">
        <v>36</v>
      </c>
      <c r="AA54" s="56">
        <f>SUM(AA43:AA53)</f>
        <v>31156364.4902891</v>
      </c>
      <c r="AB54" s="48" t="s">
        <v>36</v>
      </c>
      <c r="AC54" s="58">
        <f>SUM(AC43:AC53)</f>
        <v>16623227.100450616</v>
      </c>
      <c r="AD54" s="48" t="s">
        <v>36</v>
      </c>
      <c r="AE54" s="57">
        <f>SUM(AE43:AE53)</f>
        <v>19484876.521484558</v>
      </c>
      <c r="AF54" s="48">
        <f>SUM(AF43:AF53)</f>
        <v>85675419.999028563</v>
      </c>
    </row>
    <row r="55" spans="1:32" s="32" customFormat="1" x14ac:dyDescent="0.2">
      <c r="A55" s="93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5"/>
    </row>
    <row r="56" spans="1:32" ht="22.5" x14ac:dyDescent="0.2">
      <c r="A56" s="39" t="s">
        <v>114</v>
      </c>
      <c r="B56" s="33"/>
      <c r="C56" s="33"/>
      <c r="D56" s="61"/>
      <c r="E56" s="46">
        <f t="shared" ref="E56:S56" si="41">SUM(E8,E12,E16,E31,E35,E40,E54)</f>
        <v>8782.18</v>
      </c>
      <c r="F56" s="46">
        <f t="shared" si="41"/>
        <v>1672</v>
      </c>
      <c r="G56" s="46">
        <f t="shared" si="41"/>
        <v>1319.443</v>
      </c>
      <c r="H56" s="46">
        <f t="shared" si="41"/>
        <v>7629</v>
      </c>
      <c r="I56" s="46">
        <f t="shared" si="41"/>
        <v>2666</v>
      </c>
      <c r="J56" s="46">
        <f t="shared" si="41"/>
        <v>277</v>
      </c>
      <c r="K56" s="46">
        <f t="shared" si="41"/>
        <v>719945.99</v>
      </c>
      <c r="L56" s="46">
        <f t="shared" si="41"/>
        <v>97.582000000000008</v>
      </c>
      <c r="M56" s="62">
        <f t="shared" si="41"/>
        <v>52908065.399028569</v>
      </c>
      <c r="N56" s="62">
        <f t="shared" si="41"/>
        <v>32767354.599999998</v>
      </c>
      <c r="O56" s="62">
        <f t="shared" si="41"/>
        <v>2099999.9999999995</v>
      </c>
      <c r="P56" s="62">
        <f t="shared" si="41"/>
        <v>85675419.999028563</v>
      </c>
      <c r="Q56" s="62">
        <f t="shared" si="41"/>
        <v>83575419.999028563</v>
      </c>
      <c r="R56" s="63">
        <f t="shared" si="41"/>
        <v>0</v>
      </c>
      <c r="S56" s="62">
        <f t="shared" si="41"/>
        <v>85675419.999028563</v>
      </c>
      <c r="T56" s="48"/>
      <c r="U56" s="50">
        <f>SUM(U8,U12,U16,U31,U35,U40,U54)</f>
        <v>6601124.7880456392</v>
      </c>
      <c r="V56" s="48"/>
      <c r="W56" s="62">
        <f>SUM(W8,W12,W16,W31,W35,W40,W54)</f>
        <v>14564692.798584227</v>
      </c>
      <c r="X56" s="48"/>
      <c r="Y56" s="62">
        <f>SUM(Y8,Y12,Y16,Y31,Y35,Y40,Y54)</f>
        <v>4328830.4453580063</v>
      </c>
      <c r="Z56" s="48"/>
      <c r="AA56" s="62">
        <f>SUM(AA8,AA12,AA16,AA31,AA35,AA40,AA54)</f>
        <v>32181684.498411532</v>
      </c>
      <c r="AB56" s="48"/>
      <c r="AC56" s="62">
        <f>SUM(AC8,AC12,AC16,AC31,AC35,AC40,AC54)</f>
        <v>16623227.100450616</v>
      </c>
      <c r="AD56" s="48"/>
      <c r="AE56" s="62">
        <f>SUM(AE8,AE12,AE16,AE31,AE35,AE40,AE54)</f>
        <v>19484876.521484558</v>
      </c>
      <c r="AF56" s="62">
        <f>SUM(AF8,AF12,AF16,AF31,AF35,AF40,AF54)</f>
        <v>85675419.999028563</v>
      </c>
    </row>
    <row r="57" spans="1:32" x14ac:dyDescent="0.2">
      <c r="M57" s="68"/>
      <c r="P57" s="69"/>
      <c r="U57" s="68"/>
      <c r="W57" s="68"/>
      <c r="AF57" s="69">
        <f>S56</f>
        <v>85675419.999028563</v>
      </c>
    </row>
  </sheetData>
  <pageMargins left="0.43307086614173229" right="0.23622047244094491" top="0.74803149606299213" bottom="0.74803149606299213" header="0.31496062992125984" footer="0.31496062992125984"/>
  <pageSetup paperSize="8" scale="86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workbookViewId="0">
      <selection activeCell="B23" sqref="B23"/>
    </sheetView>
  </sheetViews>
  <sheetFormatPr defaultRowHeight="15" x14ac:dyDescent="0.25"/>
  <cols>
    <col min="1" max="1" width="32" style="126" customWidth="1"/>
    <col min="2" max="6" width="21" style="126" customWidth="1"/>
    <col min="7" max="7" width="10.85546875" style="126" bestFit="1" customWidth="1"/>
    <col min="8" max="16384" width="9.140625" style="126"/>
  </cols>
  <sheetData>
    <row r="1" spans="1:7" ht="18.75" x14ac:dyDescent="0.3">
      <c r="A1" s="203" t="s">
        <v>303</v>
      </c>
    </row>
    <row r="3" spans="1:7" x14ac:dyDescent="0.25">
      <c r="A3" s="204"/>
    </row>
    <row r="4" spans="1:7" ht="15.75" thickBot="1" x14ac:dyDescent="0.3"/>
    <row r="5" spans="1:7" s="206" customFormat="1" ht="51.75" thickBot="1" x14ac:dyDescent="0.3">
      <c r="A5" s="205" t="s">
        <v>278</v>
      </c>
      <c r="B5" s="176" t="s">
        <v>280</v>
      </c>
      <c r="C5" s="210" t="s">
        <v>298</v>
      </c>
      <c r="D5" s="176" t="s">
        <v>297</v>
      </c>
      <c r="E5" s="177" t="s">
        <v>299</v>
      </c>
      <c r="F5" s="178" t="s">
        <v>301</v>
      </c>
    </row>
    <row r="6" spans="1:7" x14ac:dyDescent="0.25">
      <c r="A6" s="219" t="s">
        <v>95</v>
      </c>
      <c r="B6" s="211">
        <v>56330270</v>
      </c>
      <c r="C6" s="211">
        <v>8020222</v>
      </c>
      <c r="D6" s="211">
        <v>7827400.4855949543</v>
      </c>
      <c r="E6" s="225">
        <f>B6+C6-D6</f>
        <v>56523091.514405042</v>
      </c>
      <c r="F6" s="212">
        <v>59831620</v>
      </c>
    </row>
    <row r="7" spans="1:7" x14ac:dyDescent="0.25">
      <c r="A7" s="220" t="s">
        <v>97</v>
      </c>
      <c r="B7" s="168">
        <v>32230296</v>
      </c>
      <c r="C7" s="168">
        <v>12525811</v>
      </c>
      <c r="D7" s="168">
        <v>6968243.646608605</v>
      </c>
      <c r="E7" s="165">
        <f t="shared" ref="E7:E13" si="0">B7+C7-D7</f>
        <v>37787863.353391394</v>
      </c>
      <c r="F7" s="213">
        <v>42014304</v>
      </c>
    </row>
    <row r="8" spans="1:7" x14ac:dyDescent="0.25">
      <c r="A8" s="220" t="s">
        <v>99</v>
      </c>
      <c r="B8" s="168">
        <v>22384133</v>
      </c>
      <c r="C8" s="168">
        <v>40137734</v>
      </c>
      <c r="D8" s="168">
        <v>11466457.757889869</v>
      </c>
      <c r="E8" s="165">
        <f t="shared" si="0"/>
        <v>51055409.242110133</v>
      </c>
      <c r="F8" s="213">
        <v>62462262</v>
      </c>
    </row>
    <row r="9" spans="1:7" x14ac:dyDescent="0.25">
      <c r="A9" s="220" t="s">
        <v>101</v>
      </c>
      <c r="B9" s="168">
        <v>105275864</v>
      </c>
      <c r="C9" s="168">
        <v>9806549</v>
      </c>
      <c r="D9" s="168">
        <v>13296672.277094901</v>
      </c>
      <c r="E9" s="165">
        <f t="shared" si="0"/>
        <v>101785740.7229051</v>
      </c>
      <c r="F9" s="213">
        <v>105811109</v>
      </c>
    </row>
    <row r="10" spans="1:7" x14ac:dyDescent="0.25">
      <c r="A10" s="220" t="s">
        <v>103</v>
      </c>
      <c r="B10" s="168">
        <v>79207123</v>
      </c>
      <c r="C10" s="168">
        <v>57480957</v>
      </c>
      <c r="D10" s="168">
        <v>19805987.71571777</v>
      </c>
      <c r="E10" s="165">
        <f t="shared" si="0"/>
        <v>116882092.28428224</v>
      </c>
      <c r="F10" s="213">
        <v>134588091</v>
      </c>
    </row>
    <row r="11" spans="1:7" x14ac:dyDescent="0.25">
      <c r="A11" s="220" t="s">
        <v>105</v>
      </c>
      <c r="B11" s="168">
        <v>24999170</v>
      </c>
      <c r="C11" s="168">
        <v>6625133</v>
      </c>
      <c r="D11" s="168">
        <v>4158212.41675968</v>
      </c>
      <c r="E11" s="165">
        <f t="shared" si="0"/>
        <v>27466090.583240319</v>
      </c>
      <c r="F11" s="213">
        <v>29939844</v>
      </c>
    </row>
    <row r="12" spans="1:7" x14ac:dyDescent="0.25">
      <c r="A12" s="220" t="s">
        <v>107</v>
      </c>
      <c r="B12" s="168">
        <v>107742879</v>
      </c>
      <c r="C12" s="168">
        <v>4376959</v>
      </c>
      <c r="D12" s="168">
        <v>11051303.252599422</v>
      </c>
      <c r="E12" s="165">
        <f t="shared" si="0"/>
        <v>101068534.74740058</v>
      </c>
      <c r="F12" s="213">
        <v>102964543</v>
      </c>
    </row>
    <row r="13" spans="1:7" ht="15.75" thickBot="1" x14ac:dyDescent="0.3">
      <c r="A13" s="221" t="s">
        <v>109</v>
      </c>
      <c r="B13" s="182">
        <v>65655589</v>
      </c>
      <c r="C13" s="182">
        <v>18836866</v>
      </c>
      <c r="D13" s="182">
        <v>9812350.5513441525</v>
      </c>
      <c r="E13" s="226">
        <f t="shared" si="0"/>
        <v>74680104.448655844</v>
      </c>
      <c r="F13" s="214">
        <v>80355345</v>
      </c>
    </row>
    <row r="14" spans="1:7" ht="15.75" thickBot="1" x14ac:dyDescent="0.3">
      <c r="A14" s="222" t="s">
        <v>262</v>
      </c>
      <c r="B14" s="185">
        <f>SUM(B6:B13)</f>
        <v>493825324</v>
      </c>
      <c r="C14" s="185">
        <f>SUM(C6:C13)</f>
        <v>157810231</v>
      </c>
      <c r="D14" s="185">
        <f>SUM(D6:D13)</f>
        <v>84386628.103609353</v>
      </c>
      <c r="E14" s="186">
        <f>SUM(E6:E13)</f>
        <v>567248926.89639068</v>
      </c>
      <c r="F14" s="217">
        <f>SUM(F6:F13)</f>
        <v>617967118</v>
      </c>
      <c r="G14" s="207"/>
    </row>
    <row r="15" spans="1:7" x14ac:dyDescent="0.25">
      <c r="A15" s="223" t="s">
        <v>302</v>
      </c>
      <c r="B15" s="215" t="s">
        <v>72</v>
      </c>
      <c r="C15" s="172">
        <v>3220617</v>
      </c>
      <c r="D15" s="215" t="s">
        <v>72</v>
      </c>
      <c r="E15" s="227" t="s">
        <v>72</v>
      </c>
      <c r="F15" s="216" t="s">
        <v>72</v>
      </c>
    </row>
    <row r="16" spans="1:7" ht="15.75" thickBot="1" x14ac:dyDescent="0.3">
      <c r="A16" s="221" t="s">
        <v>296</v>
      </c>
      <c r="B16" s="180" t="s">
        <v>72</v>
      </c>
      <c r="C16" s="180" t="s">
        <v>72</v>
      </c>
      <c r="D16" s="182">
        <v>1288791.8954192039</v>
      </c>
      <c r="E16" s="181" t="s">
        <v>72</v>
      </c>
      <c r="F16" s="218" t="s">
        <v>72</v>
      </c>
    </row>
    <row r="17" spans="1:6" ht="15.75" thickBot="1" x14ac:dyDescent="0.3">
      <c r="A17" s="224" t="s">
        <v>254</v>
      </c>
      <c r="B17" s="185">
        <f>B14</f>
        <v>493825324</v>
      </c>
      <c r="C17" s="185">
        <f>C15+C14</f>
        <v>161030848</v>
      </c>
      <c r="D17" s="185">
        <f>D16+D14</f>
        <v>85675419.999028563</v>
      </c>
      <c r="E17" s="186">
        <f>E14</f>
        <v>567248926.89639068</v>
      </c>
      <c r="F17" s="217">
        <f>F14</f>
        <v>617967118</v>
      </c>
    </row>
  </sheetData>
  <pageMargins left="0.7" right="0.7" top="0.78740157499999996" bottom="0.78740157499999996" header="0.3" footer="0.3"/>
  <pageSetup paperSize="9" scale="96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2</vt:i4>
      </vt:variant>
    </vt:vector>
  </HeadingPairs>
  <TitlesOfParts>
    <vt:vector size="7" baseType="lpstr">
      <vt:lpstr>1 Příspěvek 2017</vt:lpstr>
      <vt:lpstr>2 Dotace na RVO 2017</vt:lpstr>
      <vt:lpstr>3 Plánované náklady R a AK 2017</vt:lpstr>
      <vt:lpstr>4 Alokace nákladů R a AK</vt:lpstr>
      <vt:lpstr>5 Rekapitulace 2017</vt:lpstr>
      <vt:lpstr>'3 Plánované náklady R a AK 2017'!Názvy_tisku</vt:lpstr>
      <vt:lpstr>'4 Alokace nákladů R a AK'!Názvy_tisku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 Kropáčková</dc:creator>
  <cp:lastModifiedBy>hkropack</cp:lastModifiedBy>
  <cp:lastPrinted>2017-03-22T15:15:13Z</cp:lastPrinted>
  <dcterms:created xsi:type="dcterms:W3CDTF">2017-03-22T02:59:40Z</dcterms:created>
  <dcterms:modified xsi:type="dcterms:W3CDTF">2017-03-22T15:16:15Z</dcterms:modified>
</cp:coreProperties>
</file>